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MKM\Desktop\اجوبة التطبيق\متطلبات جديد2026\وثائق كاملة\الاستمرارية والتعافي\نهائي\منجز\انكليزي\"/>
    </mc:Choice>
  </mc:AlternateContent>
  <xr:revisionPtr revIDLastSave="0" documentId="8_{08D75C96-740E-4034-9FD6-039FB9580257}" xr6:coauthVersionLast="47" xr6:coauthVersionMax="47" xr10:uidLastSave="{00000000-0000-0000-0000-000000000000}"/>
  <bookViews>
    <workbookView xWindow="-120" yWindow="-120" windowWidth="29040" windowHeight="15720" firstSheet="1" activeTab="12" xr2:uid="{00000000-000D-0000-FFFF-FFFF00000000}"/>
  </bookViews>
  <sheets>
    <sheet name="Cover" sheetId="1" r:id="rId1"/>
    <sheet name="Sources" sheetId="2" r:id="rId2"/>
    <sheet name="Inputs" sheetId="3" r:id="rId3"/>
    <sheet name="Assumptions" sheetId="4" r:id="rId4"/>
    <sheet name="Market_Model" sheetId="5" r:id="rId5"/>
    <sheet name="Segments" sheetId="6" r:id="rId6"/>
    <sheet name="Dashboard" sheetId="7" r:id="rId7"/>
    <sheet name="CBI_Interpretation" sheetId="8" r:id="rId8"/>
    <sheet name="Sensitivity" sheetId="9" r:id="rId9"/>
    <sheet name="Commercial_Bridge" sheetId="10" r:id="rId10"/>
    <sheet name="MSME_Cases" sheetId="11" r:id="rId11"/>
    <sheet name="CBI_Readiness_Checklist" sheetId="12" r:id="rId12"/>
    <sheet name="Methodology" sheetId="13" r:id="rId13"/>
  </sheets>
  <definedNames>
    <definedName name="_xlnm._FilterDatabase" localSheetId="7" hidden="1">CBI_Interpretation!$A$4:$H$11</definedName>
    <definedName name="_xlnm._FilterDatabase" localSheetId="11" hidden="1">CBI_Readiness_Checklist!$A$4:$G$11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1" l="1"/>
  <c r="E7" i="11" s="1"/>
  <c r="B6" i="11"/>
  <c r="D6" i="11" s="1"/>
  <c r="B5" i="11"/>
  <c r="D5" i="11" s="1"/>
  <c r="F5" i="10"/>
  <c r="E5" i="10"/>
  <c r="D5" i="10"/>
  <c r="C5" i="10"/>
  <c r="B5" i="10"/>
  <c r="B6" i="10" s="1"/>
  <c r="G13" i="6"/>
  <c r="F13" i="6"/>
  <c r="E13" i="6"/>
  <c r="D13" i="6"/>
  <c r="C13" i="6"/>
  <c r="G12" i="6"/>
  <c r="F12" i="6"/>
  <c r="E12" i="6"/>
  <c r="D12" i="6"/>
  <c r="C12" i="6"/>
  <c r="F15" i="5"/>
  <c r="E15" i="5"/>
  <c r="D15" i="5"/>
  <c r="C15" i="5"/>
  <c r="B15" i="5"/>
  <c r="F13" i="5"/>
  <c r="F8" i="7" s="1"/>
  <c r="E13" i="5"/>
  <c r="E19" i="5" s="1"/>
  <c r="D13" i="5"/>
  <c r="D19" i="5" s="1"/>
  <c r="C13" i="5"/>
  <c r="C19" i="5" s="1"/>
  <c r="B13" i="5"/>
  <c r="F4" i="7" s="1"/>
  <c r="F5" i="5"/>
  <c r="E5" i="5"/>
  <c r="D5" i="5"/>
  <c r="C5" i="5"/>
  <c r="B5" i="5"/>
  <c r="F4" i="5"/>
  <c r="G9" i="6" s="1"/>
  <c r="E4" i="5"/>
  <c r="F9" i="6" s="1"/>
  <c r="D4" i="5"/>
  <c r="C4" i="5"/>
  <c r="D9" i="6" s="1"/>
  <c r="B4" i="5"/>
  <c r="C9" i="6" s="1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2" i="3"/>
  <c r="E9" i="2"/>
  <c r="E8" i="2"/>
  <c r="E7" i="2"/>
  <c r="E6" i="2"/>
  <c r="E5" i="2"/>
  <c r="E4" i="2"/>
  <c r="E3" i="2"/>
  <c r="E2" i="2"/>
  <c r="C7" i="11"/>
  <c r="F7" i="11" s="1"/>
  <c r="G7" i="11" s="1"/>
  <c r="H7" i="11" s="1"/>
  <c r="D7" i="11"/>
  <c r="F6" i="10" l="1"/>
  <c r="F8" i="10" s="1"/>
  <c r="D6" i="5"/>
  <c r="E10" i="6" s="1"/>
  <c r="C6" i="11"/>
  <c r="F6" i="11" s="1"/>
  <c r="G6" i="11" s="1"/>
  <c r="H6" i="11" s="1"/>
  <c r="E6" i="11"/>
  <c r="B6" i="5"/>
  <c r="B8" i="5" s="1"/>
  <c r="C6" i="10"/>
  <c r="C10" i="10" s="1"/>
  <c r="F7" i="10"/>
  <c r="D6" i="10"/>
  <c r="D11" i="10" s="1"/>
  <c r="F10" i="10"/>
  <c r="F9" i="10"/>
  <c r="E9" i="6"/>
  <c r="E6" i="10"/>
  <c r="E11" i="10" s="1"/>
  <c r="F7" i="7"/>
  <c r="B6" i="7"/>
  <c r="B18" i="5"/>
  <c r="F6" i="7"/>
  <c r="E18" i="5"/>
  <c r="F5" i="7"/>
  <c r="C18" i="5"/>
  <c r="F18" i="5"/>
  <c r="B8" i="7" s="1"/>
  <c r="E6" i="5"/>
  <c r="E9" i="5" s="1"/>
  <c r="D18" i="5"/>
  <c r="F6" i="5"/>
  <c r="F8" i="5" s="1"/>
  <c r="B7" i="10"/>
  <c r="B10" i="10"/>
  <c r="B8" i="10"/>
  <c r="B11" i="10"/>
  <c r="B9" i="10"/>
  <c r="E8" i="10"/>
  <c r="F11" i="10"/>
  <c r="C6" i="5"/>
  <c r="F19" i="5"/>
  <c r="C5" i="11"/>
  <c r="F5" i="11" s="1"/>
  <c r="G5" i="11" s="1"/>
  <c r="H5" i="11" s="1"/>
  <c r="E5" i="11"/>
  <c r="B19" i="5"/>
  <c r="C11" i="6" l="1"/>
  <c r="B9" i="5"/>
  <c r="B10" i="5" s="1"/>
  <c r="B12" i="5" s="1"/>
  <c r="C4" i="6"/>
  <c r="C5" i="6"/>
  <c r="C6" i="6" s="1"/>
  <c r="C7" i="6" s="1"/>
  <c r="G10" i="6"/>
  <c r="B11" i="5"/>
  <c r="C10" i="6"/>
  <c r="D10" i="10"/>
  <c r="D8" i="10"/>
  <c r="D7" i="10"/>
  <c r="B7" i="5"/>
  <c r="C8" i="6"/>
  <c r="E9" i="10"/>
  <c r="D7" i="5"/>
  <c r="C8" i="10"/>
  <c r="D9" i="5"/>
  <c r="D11" i="5"/>
  <c r="E4" i="6"/>
  <c r="E7" i="10"/>
  <c r="E8" i="6"/>
  <c r="E11" i="6"/>
  <c r="D8" i="5"/>
  <c r="D10" i="5" s="1"/>
  <c r="D12" i="5" s="1"/>
  <c r="E5" i="6"/>
  <c r="E6" i="6" s="1"/>
  <c r="E7" i="6" s="1"/>
  <c r="F10" i="6"/>
  <c r="C9" i="10"/>
  <c r="C7" i="10"/>
  <c r="C11" i="10"/>
  <c r="G4" i="6"/>
  <c r="D9" i="10"/>
  <c r="F12" i="10"/>
  <c r="E10" i="10"/>
  <c r="F5" i="6"/>
  <c r="F6" i="6" s="1"/>
  <c r="F7" i="6" s="1"/>
  <c r="F8" i="6"/>
  <c r="E8" i="5"/>
  <c r="E10" i="5" s="1"/>
  <c r="E12" i="5" s="1"/>
  <c r="E22" i="5" s="1"/>
  <c r="B16" i="5"/>
  <c r="D4" i="7"/>
  <c r="B12" i="10"/>
  <c r="G5" i="6"/>
  <c r="G6" i="6" s="1"/>
  <c r="G7" i="6" s="1"/>
  <c r="G11" i="6"/>
  <c r="F11" i="6"/>
  <c r="F7" i="5"/>
  <c r="E7" i="5"/>
  <c r="F9" i="5"/>
  <c r="F10" i="5" s="1"/>
  <c r="B6" i="9" s="1"/>
  <c r="E11" i="5"/>
  <c r="D7" i="7" s="1"/>
  <c r="F11" i="5"/>
  <c r="D8" i="7" s="1"/>
  <c r="F4" i="6"/>
  <c r="G8" i="6"/>
  <c r="D16" i="5"/>
  <c r="D6" i="7"/>
  <c r="C11" i="5"/>
  <c r="C8" i="5"/>
  <c r="D10" i="6"/>
  <c r="D4" i="6"/>
  <c r="C9" i="5"/>
  <c r="D11" i="6"/>
  <c r="C7" i="5"/>
  <c r="D5" i="6"/>
  <c r="D6" i="6" s="1"/>
  <c r="D7" i="6" s="1"/>
  <c r="D8" i="6"/>
  <c r="B14" i="5" l="1"/>
  <c r="G4" i="7" s="1"/>
  <c r="E4" i="7"/>
  <c r="E12" i="10"/>
  <c r="D12" i="10"/>
  <c r="C12" i="10"/>
  <c r="B5" i="9"/>
  <c r="C5" i="9" s="1"/>
  <c r="B21" i="5"/>
  <c r="B17" i="5"/>
  <c r="B20" i="5"/>
  <c r="B22" i="5"/>
  <c r="E7" i="7"/>
  <c r="E21" i="5"/>
  <c r="E20" i="5"/>
  <c r="E14" i="5"/>
  <c r="G7" i="7" s="1"/>
  <c r="E17" i="5"/>
  <c r="F12" i="5"/>
  <c r="F21" i="5" s="1"/>
  <c r="B10" i="9"/>
  <c r="C10" i="9" s="1"/>
  <c r="E16" i="5"/>
  <c r="B7" i="9"/>
  <c r="G7" i="9" s="1"/>
  <c r="B4" i="7"/>
  <c r="B9" i="9"/>
  <c r="D9" i="9" s="1"/>
  <c r="F16" i="5"/>
  <c r="B8" i="9"/>
  <c r="D8" i="9" s="1"/>
  <c r="C10" i="5"/>
  <c r="C12" i="5" s="1"/>
  <c r="C21" i="5" s="1"/>
  <c r="D5" i="7"/>
  <c r="C16" i="5"/>
  <c r="D5" i="9"/>
  <c r="F5" i="9"/>
  <c r="G5" i="9"/>
  <c r="E5" i="9"/>
  <c r="H5" i="9" s="1"/>
  <c r="D21" i="5"/>
  <c r="D17" i="5"/>
  <c r="D20" i="5"/>
  <c r="D22" i="5"/>
  <c r="D14" i="5"/>
  <c r="G6" i="7" s="1"/>
  <c r="E6" i="7"/>
  <c r="G6" i="9"/>
  <c r="E6" i="9"/>
  <c r="H6" i="9" s="1"/>
  <c r="C6" i="9"/>
  <c r="F6" i="9"/>
  <c r="D6" i="9"/>
  <c r="F22" i="5" l="1"/>
  <c r="E8" i="7"/>
  <c r="B5" i="7"/>
  <c r="D10" i="9"/>
  <c r="E10" i="9"/>
  <c r="H10" i="9" s="1"/>
  <c r="G10" i="9"/>
  <c r="F8" i="9"/>
  <c r="E8" i="9"/>
  <c r="H8" i="9" s="1"/>
  <c r="G8" i="9"/>
  <c r="F10" i="9"/>
  <c r="F14" i="5"/>
  <c r="G8" i="7" s="1"/>
  <c r="F17" i="5"/>
  <c r="C7" i="9"/>
  <c r="F20" i="5"/>
  <c r="D7" i="9"/>
  <c r="E7" i="9"/>
  <c r="H7" i="9" s="1"/>
  <c r="C17" i="5"/>
  <c r="F7" i="9"/>
  <c r="C14" i="5"/>
  <c r="G5" i="7" s="1"/>
  <c r="C20" i="5"/>
  <c r="E5" i="7"/>
  <c r="C8" i="9"/>
  <c r="C22" i="5"/>
  <c r="E9" i="9"/>
  <c r="H9" i="9" s="1"/>
  <c r="F9" i="9"/>
  <c r="G9" i="9"/>
  <c r="C9" i="9"/>
  <c r="B7" i="7" l="1"/>
</calcChain>
</file>

<file path=xl/sharedStrings.xml><?xml version="1.0" encoding="utf-8"?>
<sst xmlns="http://schemas.openxmlformats.org/spreadsheetml/2006/main" count="636" uniqueCount="461">
  <si>
    <t>Analysis of Total Addressable, Serviceable Available and Serviceable Obtainable Market Size [TAM/SAM/SOM] — Iraq — 2026 to 2030</t>
  </si>
  <si>
    <t>Purpose</t>
  </si>
  <si>
    <t>Market methodology</t>
  </si>
  <si>
    <t>The market is calculated in three layers: Total Addressable Market [TAM], Serviceable Available Market [SAM], and Serviceable Obtainable Market [SOM].</t>
  </si>
  <si>
    <t>Regulatory basis</t>
  </si>
  <si>
    <t>Inputs are based on the National National National Financial Inclusion Strategy issued by the Central Bank of Iraq, World Bank and International Telecommunication Union data and published international sources.</t>
  </si>
  <si>
    <t>Islamic banking context</t>
  </si>
  <si>
    <t>A modifiable factor for Sharia suitability is included because financial inclusion data suggest that interest avoidance and Shariah mismatch are reasons for poor use of formal credit.</t>
  </si>
  <si>
    <t>Model outputs</t>
  </si>
  <si>
    <t>Numbers of targeted customers, financial inclusion gap, digital payments opportunities, Islamic finance opportunities, and gradual acquisition scenarios.</t>
  </si>
  <si>
    <t>Setup date</t>
  </si>
  <si>
    <t>2026-06-13</t>
  </si>
  <si>
    <t>note</t>
  </si>
  <si>
    <t>The yellow cells in the Assumptions sheet are editable, while the black cells in the Model sheets are Equations.</t>
  </si>
  <si>
    <t>No.</t>
  </si>
  <si>
    <t>Source</t>
  </si>
  <si>
    <t>The side</t>
  </si>
  <si>
    <t>Data used</t>
  </si>
  <si>
    <t>Clickable link</t>
  </si>
  <si>
    <t>Note of use</t>
  </si>
  <si>
    <t>Full text link</t>
  </si>
  <si>
    <t>National National National Financial Inclusion Strategy 2025–2029</t>
  </si>
  <si>
    <t>Central Bank of Iraq (CBI)</t>
  </si>
  <si>
    <t>Account ownership percentage, 2030 goals, digital payments, access point indicators, Islamic banking sector, payments data, cash use indicators.</t>
  </si>
  <si>
    <t>A key regulatory source for market and financial inclusion.</t>
  </si>
  <si>
    <t>https://cbi.iq/static/uploads/up/file-175032973296039.pdf</t>
  </si>
  <si>
    <t>Iraq economic data</t>
  </si>
  <si>
    <t>World Bank</t>
  </si>
  <si>
    <t>GDP, per capita output, and some macroeconomic indicators.</t>
  </si>
  <si>
    <t>Used as market contextual indicators.</t>
  </si>
  <si>
    <t>https://data.worldbank.org/country/iraq</t>
  </si>
  <si>
    <t>Internet usage index</t>
  </si>
  <si>
    <t>International Telecommunication Union [ITU]</t>
  </si>
  <si>
    <t>Percentage of individuals using the Internet in Iraq.</t>
  </si>
  <si>
    <t>It was used to estimate digital accessibility.</t>
  </si>
  <si>
    <t>https://datahub.itu.int/data/?e=IRQ&amp;i=11624</t>
  </si>
  <si>
    <t>Mobile phone subscriptions</t>
  </si>
  <si>
    <t>World Bank/International Telecommunication Union</t>
  </si>
  <si>
    <t>Number of mobile phone subscriptions in Iraq.</t>
  </si>
  <si>
    <t>An indicator that supports digital maturity, and is not equivalent to the number of individuals.</t>
  </si>
  <si>
    <t>https://data.worldbank.org/indicator/IT.CEL.SETS?locations=IQ</t>
  </si>
  <si>
    <t>World Bank document on Iraq</t>
  </si>
  <si>
    <t>Approximate final population, proportion urban, and proportion working age 15–64.</t>
  </si>
  <si>
    <t>Used as a published reference for census results and population structure.</t>
  </si>
  <si>
    <t>https://documents1.worldbank.org/curated/en/099641504212589716/pdf/IDU-2666c9d6-2a72-4112-912d-deeb8c48bb48.pdf</t>
  </si>
  <si>
    <t>Article IV Consultation 2025</t>
  </si>
  <si>
    <t>International Monetary Fund</t>
  </si>
  <si>
    <t>Non-oil growth and macroeconomic risks.</t>
  </si>
  <si>
    <t>It was used to calibrate the conservatism of the scenarios.</t>
  </si>
  <si>
    <t>https://www.imf.org/en/news/articles/2025/07/08/pr-25243-iraq-imf-executive-board-concludes-2025-article-iv-consultation</t>
  </si>
  <si>
    <t>Market Bite Iraq</t>
  </si>
  <si>
    <t>International Finance Corporation [IFC]</t>
  </si>
  <si>
    <t>Estimating the scope of the number of SMEs in Iraq.</t>
  </si>
  <si>
    <t>There is no official standard measurement for the size of the SME sector, so it is used as a reference range.</t>
  </si>
  <si>
    <t>https://www.ifc.org/content/dam/ifc/doc/2023-delta/market-bite-iraq.pdf</t>
  </si>
  <si>
    <t>Central Bank of Iraq Standards Handbook</t>
  </si>
  <si>
    <t>General regulatory framework, financial stability, governance, risk and oversight requirements.</t>
  </si>
  <si>
    <t>A supportive regulatory reference, not a direct digital market source.</t>
  </si>
  <si>
    <t>https://cbi.iq/static/uploads/up/file-176050874125670.pdf</t>
  </si>
  <si>
    <t>Code</t>
  </si>
  <si>
    <t>Indicator</t>
  </si>
  <si>
    <t>Value</t>
  </si>
  <si>
    <t>Unit</t>
  </si>
  <si>
    <t>Year</t>
  </si>
  <si>
    <t>Input Type</t>
  </si>
  <si>
    <t>Brief source</t>
  </si>
  <si>
    <t>POP_2024</t>
  </si>
  <si>
    <t>Total population in Iraq</t>
  </si>
  <si>
    <t>Person</t>
  </si>
  <si>
    <t>Official/published</t>
  </si>
  <si>
    <t>Census 2024 results published via a World Bank document</t>
  </si>
  <si>
    <t>SHARE_15_64</t>
  </si>
  <si>
    <t>Proportion of working age population [15–64]</t>
  </si>
  <si>
    <t>%</t>
  </si>
  <si>
    <t>Published census results</t>
  </si>
  <si>
    <t>SHARE_65_PLUS</t>
  </si>
  <si>
    <t>Percentage of population over 65 years</t>
  </si>
  <si>
    <t>URBAN_SHARE</t>
  </si>
  <si>
    <t>Percentage of population in urban areas</t>
  </si>
  <si>
    <t>RURAL_SHARE</t>
  </si>
  <si>
    <t>Percentage of population in rural areas</t>
  </si>
  <si>
    <t>INTERNET_SHARE</t>
  </si>
  <si>
    <t>Percentage of individuals using the Internet</t>
  </si>
  <si>
    <t>MOBILE_SUBS</t>
  </si>
  <si>
    <t>subscription</t>
  </si>
  <si>
    <t>ACCOUNT_NFIS_BASE</t>
  </si>
  <si>
    <t>Ownership of a bank account or electronic cash account — national baseline</t>
  </si>
  <si>
    <t>Regulatory/national diagnosis</t>
  </si>
  <si>
    <t>Central Bank of Iraq - National National Financial Inclusion Strategy</t>
  </si>
  <si>
    <t>ACCOUNT_FINDEX_BASE</t>
  </si>
  <si>
    <t>Ownership of a bank account or electronic cash account — Baseline according to Findex</t>
  </si>
  <si>
    <t>International comparison</t>
  </si>
  <si>
    <t>World Bank - Findex as stated in the strategy</t>
  </si>
  <si>
    <t>ACCOUNT_TARGET_2030</t>
  </si>
  <si>
    <t>Account ownership goal by 2030</t>
  </si>
  <si>
    <t>Regulatory target</t>
  </si>
  <si>
    <t>DIGITAL_PAY_TARGET</t>
  </si>
  <si>
    <t>The goal of using digital payments</t>
  </si>
  <si>
    <t>E_MONEY_CURRENT</t>
  </si>
  <si>
    <t>Use of an electronic cash account within the family</t>
  </si>
  <si>
    <t>National diagnosis</t>
  </si>
  <si>
    <t>National National Financial Inclusion Strategy supplement</t>
  </si>
  <si>
    <t>NONCASH_MONTHLY</t>
  </si>
  <si>
    <t>Use a non-cash payment method at least once a month</t>
  </si>
  <si>
    <t>CASH_ALL_EXPENSES</t>
  </si>
  <si>
    <t>Use cash for all daily expenses</t>
  </si>
  <si>
    <t>SALARY_BENEFIT_RECEIVERS</t>
  </si>
  <si>
    <t>The proportion of the population that receives a salary, pension, or social benefit</t>
  </si>
  <si>
    <t>CASH_RECEIPT_SHARE</t>
  </si>
  <si>
    <t>The proportion of these payments that are made in cash</t>
  </si>
  <si>
    <t>RECENT_BORROWED</t>
  </si>
  <si>
    <t>Percentage of adults who have recently borrowed</t>
  </si>
  <si>
    <t>FORMAL_LOAN_USE</t>
  </si>
  <si>
    <t>Percentage of adults who have received a formal loan</t>
  </si>
  <si>
    <t>REMIT_TRANSFER_USERS</t>
  </si>
  <si>
    <t>Percentage of people who sent or received money locally or internationally</t>
  </si>
  <si>
    <t>FORMAL_TRANSFER_SHARE</t>
  </si>
  <si>
    <t>Percentage of use of official transfer methods</t>
  </si>
  <si>
    <t>MSME_LOW</t>
  </si>
  <si>
    <t>A minimum estimate of the number of SMEs</t>
  </si>
  <si>
    <t>Facility</t>
  </si>
  <si>
    <t>Published/appreciated</t>
  </si>
  <si>
    <t>MSME_HIGH</t>
  </si>
  <si>
    <t>Higher estimate of the number of SMEs</t>
  </si>
  <si>
    <t>MSME_NO_REG</t>
  </si>
  <si>
    <t>Proportion of unregistered micro, SMEs</t>
  </si>
  <si>
    <t>National National Financial Inclusion Strategy</t>
  </si>
  <si>
    <t>MSME_BUS_ACC</t>
  </si>
  <si>
    <t>Percentage of owning an account for a commercial purpose</t>
  </si>
  <si>
    <t>MSME_DEDICATED_ACC</t>
  </si>
  <si>
    <t>Percentage of owning a business account in the name of the company</t>
  </si>
  <si>
    <t>MSME_NO_BUS_ACC</t>
  </si>
  <si>
    <t>Percentage of companies that operate without a commercial account</t>
  </si>
  <si>
    <t>QI_CARDS</t>
  </si>
  <si>
    <t>Key trading cards</t>
  </si>
  <si>
    <t>card</t>
  </si>
  <si>
    <t>POS_DEVICES</t>
  </si>
  <si>
    <t>Number of point of sale (POS) (POS) [POS] devices</t>
  </si>
  <si>
    <t>device</t>
  </si>
  <si>
    <t>POC_POINTS</t>
  </si>
  <si>
    <t>Number of electronic cash points [POC]</t>
  </si>
  <si>
    <t>a point</t>
  </si>
  <si>
    <t>MANAFEZ_AGENTS</t>
  </si>
  <si>
    <t>Number of outlet agents</t>
  </si>
  <si>
    <t>agent</t>
  </si>
  <si>
    <t>BANK_BRANCHES</t>
  </si>
  <si>
    <t>Total bank branches</t>
  </si>
  <si>
    <t>branch</t>
  </si>
  <si>
    <t>ISLAMIC_ENTITIES</t>
  </si>
  <si>
    <t>Number of Islamic banking entities</t>
  </si>
  <si>
    <t>One side</t>
  </si>
  <si>
    <t>28 Islamic banks + two foreign Islamic banks + a government Islamic bank</t>
  </si>
  <si>
    <t>ISLAMIC_BRANCHES</t>
  </si>
  <si>
    <t>Number of branches of Islamic banking entities</t>
  </si>
  <si>
    <t>191 + 5 + 4 branches</t>
  </si>
  <si>
    <t>GDP_USD_BN</t>
  </si>
  <si>
    <t>gross domestic product</t>
  </si>
  <si>
    <t>Billion US dollars</t>
  </si>
  <si>
    <t>publication</t>
  </si>
  <si>
    <t>GDP_PC_USD</t>
  </si>
  <si>
    <t>GDP per capita</t>
  </si>
  <si>
    <t>US dollars</t>
  </si>
  <si>
    <t>POP_GROWTH</t>
  </si>
  <si>
    <t>Annual population growth rate</t>
  </si>
  <si>
    <t>https://data.worldbank.org/indicator/SP.POP.GROW?locations=IQ</t>
  </si>
  <si>
    <t>Group</t>
  </si>
  <si>
    <t>Assumption</t>
  </si>
  <si>
    <t>2026</t>
  </si>
  <si>
    <t>2027</t>
  </si>
  <si>
    <t>2028</t>
  </si>
  <si>
    <t>2029</t>
  </si>
  <si>
    <t>2030</t>
  </si>
  <si>
    <t>Source/note</t>
  </si>
  <si>
    <t>market</t>
  </si>
  <si>
    <t>Sharia suitability factor — conservative status</t>
  </si>
  <si>
    <t>A conservative case for testing the sensitivity of Sharia-compliant demand. It does not represent an official figure and is only used to estimate the serviceable market scope.</t>
  </si>
  <si>
    <t>Sharia suitability factor — base case</t>
  </si>
  <si>
    <t>Management assumption for the base case. It should be read with the Sensitivity tab as it is not an official published indicator of demand for Islamic digital banking.</t>
  </si>
  <si>
    <t>Sharia suitability factor — optimistic case</t>
  </si>
  <si>
    <t>An optimistic case of testing the ceiling on a potential Sharia-compliant opportunity and not a promise to transform the market.</t>
  </si>
  <si>
    <t>Akkad adoption rate of serviceable market — conservative</t>
  </si>
  <si>
    <t>Conservative trading assumption for Akkad share of SAM. Later linked to the acquisition plan and growth channels.</t>
  </si>
  <si>
    <t>Akkad adoption rate of serviceable market – base case</t>
  </si>
  <si>
    <t>Basic business assumption for a Akkad share of SAM. It should be reviewed against the acquisition plan, marketing budget, and conversion from registration to activation.</t>
  </si>
  <si>
    <t>Akkad adoption rate within serviceable market – optimistic</t>
  </si>
  <si>
    <t>An optimistic assumption used for comparison only and not adopted as an operational plan without proof of a workable acquisition channel.</t>
  </si>
  <si>
    <t>Management</t>
  </si>
  <si>
    <t>Active clients — management plan</t>
  </si>
  <si>
    <t>Adjustable management plan. The Commercial_Bridge tab has been added to clarify customer access channels and mitigate the risks of assumption.</t>
  </si>
  <si>
    <t>Revenue</t>
  </si>
  <si>
    <t>Average monthly customer income [ARPU] — Iraqi dinar</t>
  </si>
  <si>
    <t>The ARPU input is only used to calculate market revenue opportunity and is not a complete income statement or profitability forecast.</t>
  </si>
  <si>
    <t>Deposits</t>
  </si>
  <si>
    <t>Average target balance per active customer — Iraqi Dinar</t>
  </si>
  <si>
    <t>Average balance assumption is used to measure deposit opportunity. It should later be linked to the account products and actual usage behavior.</t>
  </si>
  <si>
    <t>Scenario</t>
  </si>
  <si>
    <t>Percentage of using national baseline instead of Findex</t>
  </si>
  <si>
    <t>Baseline selection key: 1 uses NFIS 11% baseline, 0 uses Findex 19% for comparison. The NFIS is preferred to be adopted in the CBI version because it is an official national diagnosis.</t>
  </si>
  <si>
    <t>Market Size Model — Akkad Islamic Digital Bank</t>
  </si>
  <si>
    <t>Total expected population</t>
  </si>
  <si>
    <t>Percentage of adults [15+]</t>
  </si>
  <si>
    <t>Number of adults [15+]</t>
  </si>
  <si>
    <t>Digitally accessible adults</t>
  </si>
  <si>
    <t>Current account owners — the baseline used</t>
  </si>
  <si>
    <t>Financial inclusion goal 2030</t>
  </si>
  <si>
    <t>Financial inclusion gap up to 50% target</t>
  </si>
  <si>
    <t>Total Market [TAM] — number of adults</t>
  </si>
  <si>
    <t>Serviceable Market [SAM] — digital and legitimately relevant</t>
  </si>
  <si>
    <t>Serviceable Obtainable Market [SOM] — Management Plan</t>
  </si>
  <si>
    <t>Share [SOM] of [SAM]</t>
  </si>
  <si>
    <t>Average Monthly Customer Revenue [ARPU]</t>
  </si>
  <si>
    <t>Potential annual [TAM] revenue — billion dinars</t>
  </si>
  <si>
    <t>Potential annual [SAM] revenue — billion dinars</t>
  </si>
  <si>
    <t>Expected annual [SOM] revenue — billion dinars</t>
  </si>
  <si>
    <t>Expected [SOM] deposits — billion dinars</t>
  </si>
  <si>
    <t>[SOM] Clients — conservative scenario</t>
  </si>
  <si>
    <t>[SOM] Clients — Basic scenario</t>
  </si>
  <si>
    <t>[SOM] Clients — Optimistic scenario</t>
  </si>
  <si>
    <t>Analysis of market segments related to Islamic digital banking</t>
  </si>
  <si>
    <t>Slide</t>
  </si>
  <si>
    <t>Calculation method</t>
  </si>
  <si>
    <t>Adults who are not financially covered</t>
  </si>
  <si>
    <t>Number of adults x (1 - national baseline 11%)</t>
  </si>
  <si>
    <t>The gap required to reach the 50% target</t>
  </si>
  <si>
    <t>Number of adults x (50% - 11%)</t>
  </si>
  <si>
    <t>The accessible digital divide</t>
  </si>
  <si>
    <t>Financial inclusion gap × Internet usage rate</t>
  </si>
  <si>
    <t>Legally appropriate digital opportunity</t>
  </si>
  <si>
    <t>Digital Divide x Basic Sharia suitability factor</t>
  </si>
  <si>
    <t>Opportunity for monthly digital payments</t>
  </si>
  <si>
    <t>Number of adults x (target 85% - current usage 27%)</t>
  </si>
  <si>
    <t>The opportunity to transfer salaries and benefits from cash</t>
  </si>
  <si>
    <t>Total population x 50% x 62%</t>
  </si>
  <si>
    <t>Opportunity for formal Islamic financing for individuals</t>
  </si>
  <si>
    <t>Number of adults x (recent borrowing 22% - formal loan 6%)</t>
  </si>
  <si>
    <t>Opportunity for official transfers</t>
  </si>
  <si>
    <t>Number of adults x 16% x (1 - 11%)</t>
  </si>
  <si>
    <t>Opportunity for SME accounts</t>
  </si>
  <si>
    <t>Number of SMEs x 85% without a business account</t>
  </si>
  <si>
    <t>Opportunity for a business account in the name of the company</t>
  </si>
  <si>
    <t>Number of SMEs x (1 - 2%)</t>
  </si>
  <si>
    <t>Market Summary Dashboard — [TAM/SAM/SOM]</t>
  </si>
  <si>
    <t>Main indicator</t>
  </si>
  <si>
    <t>TAM</t>
  </si>
  <si>
    <t>SAM</t>
  </si>
  <si>
    <t>SOM</t>
  </si>
  <si>
    <t>SOM share of SAM</t>
  </si>
  <si>
    <t>Number of adults [TAM]</t>
  </si>
  <si>
    <t>Serviceable Market [SAM]</t>
  </si>
  <si>
    <t>Akkad Target Customers [SOM]</t>
  </si>
  <si>
    <t>Expected [SOM] revenue — billion dinars</t>
  </si>
  <si>
    <t>Regulatory note</t>
  </si>
  <si>
    <t>This panel displays TAM/SAM/SOM market size only and does not represent a forecast of profitability, capital adequacy or liquidity. Please read the results with the CBI_Interpretation, Sensitivity and Commercial_Bridge tabs.</t>
  </si>
  <si>
    <t>Explanatory memorandum for the Central Bank of Iraq</t>
  </si>
  <si>
    <t>Clarify the scope, sources and limitations of the market size model when used within a licensing or regulatory submission.</t>
  </si>
  <si>
    <t>item</t>
  </si>
  <si>
    <t>Suggested interpretation upon submission</t>
  </si>
  <si>
    <t>Source type</t>
  </si>
  <si>
    <t>Impact on the model</t>
  </si>
  <si>
    <t>Confidence level</t>
  </si>
  <si>
    <t>Action required before submission</t>
  </si>
  <si>
    <t>The reference is inside the file</t>
  </si>
  <si>
    <t>model scope</t>
  </si>
  <si>
    <t>This model measures the total, serviceable and obtainable market size of an Islamic digital bank, and does not represent a model of profitability, capital adequacy or liquidity.</t>
  </si>
  <si>
    <t>Methodological</t>
  </si>
  <si>
    <t>It is prohibited to interpret a revenue opportunity as a net profit or final financial result.</t>
  </si>
  <si>
    <t>High</t>
  </si>
  <si>
    <t>Submit it with the financial model as a separate and complementary file.</t>
  </si>
  <si>
    <t>Methodology tab</t>
  </si>
  <si>
    <t>Suitable for reading market opportunity.</t>
  </si>
  <si>
    <t>Account ownership target 2030</t>
  </si>
  <si>
    <t>The 50% account ownership target is a national goal within the National National Financial Inclusion Strategy, and is not a proven prediction of a complete market transformation.</t>
  </si>
  <si>
    <t>Central Bank of Iraq/National National Financial Inclusion Strategy</t>
  </si>
  <si>
    <t>Supports calculating the financial inclusion gap.</t>
  </si>
  <si>
    <t>Maintaining the disclosure that the goal is general national and not a confirmed market share.</t>
  </si>
  <si>
    <t>Inputs: ACCOUNT_TARGET_2030</t>
  </si>
  <si>
    <t>Official goal.</t>
  </si>
  <si>
    <t>The goal of digital payments</t>
  </si>
  <si>
    <t>The target of 85% digital payments usage is a national target for adoption and not a confirmed market share for Akkad Bank.</t>
  </si>
  <si>
    <t>Supports measurement of the digital payments opportunity.</t>
  </si>
  <si>
    <t>Use it as market context only.</t>
  </si>
  <si>
    <t>Inputs: DIGITAL_PAY_TARGET</t>
  </si>
  <si>
    <t>Sharia suitability factor</t>
  </si>
  <si>
    <t>An administrative factor to estimate potential demand for Sharia-compliant digital banking services, and not an official published indicator.</t>
  </si>
  <si>
    <t>Management assumption</t>
  </si>
  <si>
    <t>It directly affects the size of the SAM serviceable market.</t>
  </si>
  <si>
    <t>Medium</t>
  </si>
  <si>
    <t>Read results with Sensitivity scenarios.</t>
  </si>
  <si>
    <t>Assumptions: Rows 2 to 4</t>
  </si>
  <si>
    <t>Sensitivity tab added.</t>
  </si>
  <si>
    <t>Akkad share of serviceable market</t>
  </si>
  <si>
    <t>A management assumption of attainable market share that requires support from the customer acquisition plan and commercial channels.</t>
  </si>
  <si>
    <t>Determines the number of target customers SOM.</t>
  </si>
  <si>
    <t>Read the results with the Commercial_Bridge tab.</t>
  </si>
  <si>
    <t>Assumptions: Rows 5 to 8</t>
  </si>
  <si>
    <t>A commercial bridge has been added.</t>
  </si>
  <si>
    <t>Revenue opportunity</t>
  </si>
  <si>
    <t>TAM/SAM/SOM revenue is an annual opportunity based on a customer's average monthly revenue ARPU, not an income statement.</t>
  </si>
  <si>
    <t>It separates market opportunity from actual profitability.</t>
  </si>
  <si>
    <t>Keep ARPU as a market input only.</t>
  </si>
  <si>
    <t>Market_Model: Rows 16 to 18</t>
  </si>
  <si>
    <t>Important for organizational clarity.</t>
  </si>
  <si>
    <t>Opportunity for SMEs</t>
  </si>
  <si>
    <t>The SME range is presented with low, basic and high states rather than relying on just the average.</t>
  </si>
  <si>
    <t>IFC/National National Financial Inclusion Strategy</t>
  </si>
  <si>
    <t>Enhances defensibility of SME opportunity.</t>
  </si>
  <si>
    <t>Use the MSME_Cases tab when reading formally.</t>
  </si>
  <si>
    <t>MSME_Cases</t>
  </si>
  <si>
    <t>Cases added.</t>
  </si>
  <si>
    <t>Sensitivity analysis - legal relevance and market share</t>
  </si>
  <si>
    <t>Measuring the impact of changing Sharia suitability factor and Akkad Bank's serviceable market share on SAM and SOM volume and revenue opportunity in 2030.</t>
  </si>
  <si>
    <t>SAM in 2030</t>
  </si>
  <si>
    <t>SOM at 1.5% share</t>
  </si>
  <si>
    <t>SOM at 2.5% share</t>
  </si>
  <si>
    <t>SOM at 3.4% share - base case</t>
  </si>
  <si>
    <t>SOM at 4.5% share</t>
  </si>
  <si>
    <t>SOM at 6.0% share</t>
  </si>
  <si>
    <t>Revenues at a share of 3.4% - billion dinars</t>
  </si>
  <si>
    <t>Sensitivity condition to test market scope</t>
  </si>
  <si>
    <t>National National Financial Inclusion Strategy + management assumption</t>
  </si>
  <si>
    <t>Current base state</t>
  </si>
  <si>
    <t>The commercial bridge to reach target customers</t>
  </si>
  <si>
    <t>Link SOM goals to practical acquisition channels so customer numbers don't appear as assumptions separate from execution.</t>
  </si>
  <si>
    <t>Channel/year</t>
  </si>
  <si>
    <t>Reading method</t>
  </si>
  <si>
    <t>Main requirement</t>
  </si>
  <si>
    <t>Implementation risks</t>
  </si>
  <si>
    <t>Risk mitigation procedure</t>
  </si>
  <si>
    <t>Total active customers targeted</t>
  </si>
  <si>
    <t>Balance of active customers at the end of the year</t>
  </si>
  <si>
    <t>Management plan</t>
  </si>
  <si>
    <t>Convert registration to actual activation</t>
  </si>
  <si>
    <t>Monitor registration and activation funnels monthly</t>
  </si>
  <si>
    <t>Net new customers</t>
  </si>
  <si>
    <t>Annual increase in customers</t>
  </si>
  <si>
    <t>Withdrawal or inactivity</t>
  </si>
  <si>
    <t>Track inactive customers and reactivation programs</t>
  </si>
  <si>
    <t>Self-registration via the application</t>
  </si>
  <si>
    <t>Live digital channel</t>
  </si>
  <si>
    <t>Application + KYC verification + digital campaigns</t>
  </si>
  <si>
    <t>Customer leakage during KYC</t>
  </si>
  <si>
    <t>Simplifying the registration journey and providing live support</t>
  </si>
  <si>
    <t>Salaries/Benefits/Card Transfer</t>
  </si>
  <si>
    <t>Converting cash users to digital accounts</t>
  </si>
  <si>
    <t>Institutional and payer partnerships</t>
  </si>
  <si>
    <t>Slow conversion of partnerships into operation</t>
  </si>
  <si>
    <t>Plan memorandums of understanding and phased launch</t>
  </si>
  <si>
    <t>Agents and service points</t>
  </si>
  <si>
    <t>Field activation and provision of cash services</t>
  </si>
  <si>
    <t>Licensed partners and service points</t>
  </si>
  <si>
    <t>Service quality and compliance</t>
  </si>
  <si>
    <t>Training, monitoring and service level agreements</t>
  </si>
  <si>
    <t>SMEs and traders</t>
  </si>
  <si>
    <t>Accounts for merchants and small companies</t>
  </si>
  <si>
    <t>Payment gateways/QR/points of sale</t>
  </si>
  <si>
    <t>Slow merchant adoption</t>
  </si>
  <si>
    <t>Payment acceptance incentives and SME packages</t>
  </si>
  <si>
    <t>Trust campaigns and Islamic products</t>
  </si>
  <si>
    <t>Building trust, awareness and Sharia-compliant positioning</t>
  </si>
  <si>
    <t>Sharia governance and consumer protection</t>
  </si>
  <si>
    <t>Low confidence in new products</t>
  </si>
  <si>
    <t>Transparent communication and educational messages</t>
  </si>
  <si>
    <t>Bridge compatibility test</t>
  </si>
  <si>
    <t>It must equal zero</t>
  </si>
  <si>
    <t>Internal verification</t>
  </si>
  <si>
    <t>Error in channel distribution</t>
  </si>
  <si>
    <t>Review channel ratios when editing</t>
  </si>
  <si>
    <t>SME market situations</t>
  </si>
  <si>
    <t>Low/Basic/High view of SME opportunity based on IFC scale and business account indicators in National National Financial Inclusion Strategy.</t>
  </si>
  <si>
    <t>the condition</t>
  </si>
  <si>
    <t>Number of companies used</t>
  </si>
  <si>
    <t>Without a trading account 85%</t>
  </si>
  <si>
    <t>Without an account in the name of the company 98%</t>
  </si>
  <si>
    <t>Not registered 72%</t>
  </si>
  <si>
    <t>Digitally accessible 81.5%</t>
  </si>
  <si>
    <t>Legally appropriate 65%</t>
  </si>
  <si>
    <t>Opportunity for Islamic digital SME accounts</t>
  </si>
  <si>
    <t>Low</t>
  </si>
  <si>
    <t>It is based on the minimum IFC estimate.</t>
  </si>
  <si>
    <t>Basic</t>
  </si>
  <si>
    <t>It is based on the average range of IFC as a practical condition.</t>
  </si>
  <si>
    <t>High</t>
  </si>
  <si>
    <t>It is based on the upper bound of the IFC estimate.</t>
  </si>
  <si>
    <t>Readiness list for submission to the Central Bank of Iraq</t>
  </si>
  <si>
    <t>Clarify what the market model supports and what requires accompanying financial or operational documentation.</t>
  </si>
  <si>
    <t>Axis</t>
  </si>
  <si>
    <t>Status within the file</t>
  </si>
  <si>
    <t>Readiness level</t>
  </si>
  <si>
    <t>Required attachment</t>
  </si>
  <si>
    <t>Owner</t>
  </si>
  <si>
    <t>Priority</t>
  </si>
  <si>
    <t>Market sources</t>
  </si>
  <si>
    <t>Documented with official and published links</t>
  </si>
  <si>
    <t>ready</t>
  </si>
  <si>
    <t>Source pack or PDF copies of references</t>
  </si>
  <si>
    <t>Strategy/Project Office</t>
  </si>
  <si>
    <t>High</t>
  </si>
  <si>
    <t>Includes CBI, World Bank, ITU and IFC.</t>
  </si>
  <si>
    <t>TAM/SAM/SOM</t>
  </si>
  <si>
    <t>Calculated in clear and understandable formulas</t>
  </si>
  <si>
    <t>Ready with disclosure</t>
  </si>
  <si>
    <t>A note on methodology and limitations of assumptions</t>
  </si>
  <si>
    <t>Strategy</t>
  </si>
  <si>
    <t>It represents market size, not profitability.</t>
  </si>
  <si>
    <t>Sharia suitability</t>
  </si>
  <si>
    <t>A sensitively supported managerial assumption</t>
  </si>
  <si>
    <t>Partially ready</t>
  </si>
  <si>
    <t>Study customer preferences or a legitimate support note</t>
  </si>
  <si>
    <t>Shariah Board / Products</t>
  </si>
  <si>
    <t>Medium</t>
  </si>
  <si>
    <t>Sensitivity added.</t>
  </si>
  <si>
    <t>Customer acquisition</t>
  </si>
  <si>
    <t>A commercial bridge has been added</t>
  </si>
  <si>
    <t>Marketing plan, partnerships and acquisition channels</t>
  </si>
  <si>
    <t>Business</t>
  </si>
  <si>
    <t>Supports SOM logic.</t>
  </si>
  <si>
    <t>SME</t>
  </si>
  <si>
    <t>Low, basic and high states have been added</t>
  </si>
  <si>
    <t>Plan SME products and traders</t>
  </si>
  <si>
    <t>Business banking</t>
  </si>
  <si>
    <t>It is based on IFC and NFIS.</t>
  </si>
  <si>
    <t>Financial model</t>
  </si>
  <si>
    <t>Not included in this file</t>
  </si>
  <si>
    <t>Requires attachment</t>
  </si>
  <si>
    <t>Five-year financial model</t>
  </si>
  <si>
    <t>Finance</t>
  </si>
  <si>
    <t>This file is Market Module only.</t>
  </si>
  <si>
    <t>Risk and compliance</t>
  </si>
  <si>
    <t>Not detailed in this file</t>
  </si>
  <si>
    <t>AML/KYC/Cyber/Operational Risk files</t>
  </si>
  <si>
    <t>Risk/Compliance</t>
  </si>
  <si>
    <t>Outside the scope of TAM/SAM/SOM.</t>
  </si>
  <si>
    <t>Methodology for calculating market size</t>
  </si>
  <si>
    <t>Definition</t>
  </si>
  <si>
    <t>Equation</t>
  </si>
  <si>
    <t>Governance notes</t>
  </si>
  <si>
    <t>Total Market [TAM]</t>
  </si>
  <si>
    <t>All adults in Iraq who can be potential customers of banking services.</t>
  </si>
  <si>
    <t>Total population x proportion of adults [15+].</t>
  </si>
  <si>
    <t>The entire population is not used, because personal banking targets adults.</t>
  </si>
  <si>
    <t>The gap that can be serviced digitally and legitimately to reach the goal of financial inclusion.</t>
  </si>
  <si>
    <t>(Goal 50% - Baseline 11%) x Adults x Internet x Legitimacy Relevance Factor.</t>
  </si>
  <si>
    <t>The Shariah suitability factor is adjustable, because there is no official published ratio that directly measures Islamic digital demand.</t>
  </si>
  <si>
    <t>obtainable market [SOM]</t>
  </si>
  <si>
    <t>The bank's actual expected share within the plan period.</t>
  </si>
  <si>
    <t>Management clients or acquisition ratio x [SAM].</t>
  </si>
  <si>
    <t>There is a management scenario, conservative, fundamental and optimistic scenarios.</t>
  </si>
  <si>
    <t>Islamic finance</t>
  </si>
  <si>
    <t>It represents an opportunity as some individuals and companies avoid formal loans due to interest and Sharia incompatibility.</t>
  </si>
  <si>
    <t>Financing opportunity = adults x (recent borrowing - formal loan).</t>
  </si>
  <si>
    <t>It must later be linked to creditworthiness policies, ability to repay, and Sharia controls.</t>
  </si>
  <si>
    <t>Digital payments</t>
  </si>
  <si>
    <t>The opportunity to convert cash usage into digital payments.</t>
  </si>
  <si>
    <t>Adults x (digital payments target 85% - monthly cashless usage 27%).</t>
  </si>
  <si>
    <t>Not every opportunity should be considered immediately collectible due to poor merchant acceptance and trust.</t>
  </si>
  <si>
    <t>SMEs</t>
  </si>
  <si>
    <t>Opportunity for commercial accounts and small and medium business financing.</t>
  </si>
  <si>
    <t>Average IFC Estimate × Percentage of Firms Without a Trading Account.</t>
  </si>
  <si>
    <t>There is no official standard measurement of sector size, so a low and high range with an adjustable midpoint is used.</t>
  </si>
  <si>
    <t>Akkad Islamic Digital Bank — Market Model</t>
  </si>
  <si>
    <t>Market module using official and published data on the Iraqi market, taking into account that the bank is digital and Islamic.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</si>
</sst>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17">
    <font>
      <sz val="11"/>
      <name val="Carlito"/>
    </font>
    <font>
      <b/>
      <sz val="16"/>
      <color rgb="FFFFFFFF"/>
      <name val="Tajawal"/>
    </font>
    <font>
      <sz val="11"/>
      <name val="Tajawal"/>
    </font>
    <font>
      <b/>
      <sz val="12"/>
      <color rgb="FF0B3D2E"/>
      <name val="Tajawal"/>
    </font>
    <font>
      <b/>
      <sz val="11"/>
      <color rgb="FFFFFFFF"/>
      <name val="Tajawal"/>
    </font>
    <font>
      <b/>
      <sz val="15"/>
      <color rgb="FFFFFFFF"/>
      <name val="Tajawal"/>
    </font>
    <font>
      <sz val="10"/>
      <color rgb="FF243447"/>
      <name val="Tajawal"/>
    </font>
    <font>
      <b/>
      <sz val="14"/>
      <color rgb="FFFFFFFF"/>
      <name val="Tajawal"/>
    </font>
    <font>
      <sz val="11"/>
      <color rgb="FF000000"/>
      <name val="Tajawal"/>
    </font>
    <font>
      <b/>
      <sz val="10"/>
      <color rgb="FF243447"/>
      <name val="Tajawal"/>
    </font>
    <font>
      <sz val="11"/>
      <color rgb="FF0000FF"/>
      <name val="Tajawal"/>
    </font>
    <font>
      <sz val="11"/>
      <color rgb="FF0563C1"/>
      <name val="Tajawal"/>
    </font>
    <font>
      <sz val="11"/>
      <color theme="0"/>
      <name val="Tajawal"/>
    </font>
    <font>
      <b/>
      <sz val="10"/>
      <color theme="0"/>
      <name val="Tajawal"/>
    </font>
    <font>
      <b/>
      <sz val="11"/>
      <color theme="0"/>
      <name val="Tajawal"/>
    </font>
    <font>
      <b/>
      <sz val="15"/>
      <color theme="0"/>
      <name val="Tajawal"/>
    </font>
    <font>
      <b/>
      <sz val="11"/>
      <name val="Tajawal"/>
    </font>
  </fonts>
  <fills count="10">
    <fill>
      <patternFill patternType="none"/>
    </fill>
    <fill>
      <patternFill patternType="gray125"/>
    </fill>
    <fill>
      <patternFill patternType="solid">
        <fgColor rgb="FF0F2742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0F172A"/>
      </patternFill>
    </fill>
    <fill>
      <patternFill patternType="solid">
        <fgColor rgb="FF173B57"/>
      </patternFill>
    </fill>
    <fill>
      <patternFill patternType="solid">
        <fgColor rgb="FFEAF4FB"/>
      </patternFill>
    </fill>
    <fill>
      <patternFill patternType="solid">
        <fgColor rgb="FFFBFCFD"/>
      </patternFill>
    </fill>
    <fill>
      <patternFill patternType="solid">
        <fgColor rgb="FFFFF3E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D9E2EA"/>
      </left>
      <right style="thin">
        <color rgb="FFD9E2EA"/>
      </right>
      <top style="thin">
        <color rgb="FFD9E2EA"/>
      </top>
      <bottom style="thin">
        <color rgb="FFD9E2E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1"/>
  </cellStyleXfs>
  <cellXfs count="45">
    <xf numFmtId="0" fontId="0" fillId="0" borderId="0" xfId="0" applyBorder="1"/>
    <xf numFmtId="0" fontId="4" fillId="2" borderId="0" xfId="0" applyFont="1" applyFill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3" fontId="2" fillId="0" borderId="0" xfId="0" applyNumberFormat="1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left" vertical="top" wrapText="1"/>
    </xf>
    <xf numFmtId="165" fontId="2" fillId="0" borderId="0" xfId="0" applyNumberFormat="1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center" wrapText="1"/>
    </xf>
    <xf numFmtId="0" fontId="13" fillId="6" borderId="2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8" borderId="2" xfId="0" applyFont="1" applyFill="1" applyBorder="1" applyAlignment="1">
      <alignment horizontal="left" vertical="center" wrapText="1"/>
    </xf>
    <xf numFmtId="3" fontId="6" fillId="0" borderId="2" xfId="0" applyNumberFormat="1" applyFont="1" applyBorder="1" applyAlignment="1">
      <alignment horizontal="left" vertical="center" wrapText="1"/>
    </xf>
    <xf numFmtId="3" fontId="6" fillId="8" borderId="2" xfId="0" applyNumberFormat="1" applyFont="1" applyFill="1" applyBorder="1" applyAlignment="1">
      <alignment horizontal="left" vertical="center" wrapText="1"/>
    </xf>
    <xf numFmtId="9" fontId="6" fillId="0" borderId="2" xfId="0" applyNumberFormat="1" applyFont="1" applyBorder="1" applyAlignment="1">
      <alignment horizontal="left" vertical="center" wrapText="1"/>
    </xf>
    <xf numFmtId="165" fontId="6" fillId="0" borderId="2" xfId="0" applyNumberFormat="1" applyFont="1" applyBorder="1" applyAlignment="1">
      <alignment horizontal="left" vertical="center" wrapText="1"/>
    </xf>
    <xf numFmtId="9" fontId="6" fillId="8" borderId="2" xfId="0" applyNumberFormat="1" applyFont="1" applyFill="1" applyBorder="1" applyAlignment="1">
      <alignment horizontal="left" vertical="center" wrapText="1"/>
    </xf>
    <xf numFmtId="165" fontId="6" fillId="8" borderId="2" xfId="0" applyNumberFormat="1" applyFont="1" applyFill="1" applyBorder="1" applyAlignment="1">
      <alignment horizontal="left" vertical="center" wrapText="1"/>
    </xf>
    <xf numFmtId="3" fontId="8" fillId="0" borderId="0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left" vertical="center" wrapText="1"/>
    </xf>
    <xf numFmtId="3" fontId="2" fillId="0" borderId="0" xfId="0" applyNumberFormat="1" applyFont="1" applyBorder="1" applyAlignment="1">
      <alignment horizontal="left" wrapText="1"/>
    </xf>
    <xf numFmtId="164" fontId="2" fillId="0" borderId="0" xfId="0" applyNumberFormat="1" applyFont="1" applyBorder="1" applyAlignment="1">
      <alignment horizontal="left" wrapText="1"/>
    </xf>
    <xf numFmtId="165" fontId="8" fillId="0" borderId="0" xfId="0" applyNumberFormat="1" applyFont="1" applyBorder="1" applyAlignment="1">
      <alignment horizontal="left" vertical="center" wrapText="1"/>
    </xf>
    <xf numFmtId="0" fontId="9" fillId="9" borderId="2" xfId="0" applyFont="1" applyFill="1" applyBorder="1" applyAlignment="1">
      <alignment horizontal="left" vertical="center" wrapText="1"/>
    </xf>
    <xf numFmtId="0" fontId="6" fillId="9" borderId="2" xfId="0" applyFont="1" applyFill="1" applyBorder="1" applyAlignment="1">
      <alignment horizontal="left" vertical="center" wrapText="1"/>
    </xf>
    <xf numFmtId="164" fontId="10" fillId="4" borderId="0" xfId="0" applyNumberFormat="1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3" fontId="10" fillId="4" borderId="0" xfId="0" applyNumberFormat="1" applyFont="1" applyFill="1" applyBorder="1" applyAlignment="1">
      <alignment horizontal="left" vertical="top" wrapText="1"/>
    </xf>
    <xf numFmtId="0" fontId="7" fillId="2" borderId="1" xfId="0" applyFont="1" applyFill="1" applyAlignment="1">
      <alignment horizontal="left" wrapText="1"/>
    </xf>
    <xf numFmtId="0" fontId="2" fillId="0" borderId="1" xfId="0" applyFont="1" applyAlignment="1">
      <alignment horizontal="left"/>
    </xf>
    <xf numFmtId="0" fontId="16" fillId="0" borderId="4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1" fillId="2" borderId="3" xfId="0" applyFont="1" applyFill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top" wrapText="1"/>
    </xf>
    <xf numFmtId="0" fontId="6" fillId="7" borderId="1" xfId="0" applyFont="1" applyFill="1" applyAlignment="1">
      <alignment horizontal="left" vertical="center" wrapText="1"/>
    </xf>
    <xf numFmtId="0" fontId="5" fillId="6" borderId="1" xfId="0" applyFont="1" applyFill="1" applyAlignment="1">
      <alignment horizontal="left" vertical="center"/>
    </xf>
    <xf numFmtId="0" fontId="15" fillId="6" borderId="1" xfId="0" applyFont="1" applyFill="1" applyAlignment="1">
      <alignment horizontal="left" vertical="center"/>
    </xf>
    <xf numFmtId="0" fontId="12" fillId="0" borderId="1" xfId="0" applyFont="1" applyAlignment="1">
      <alignment horizontal="left"/>
    </xf>
  </cellXfs>
  <cellStyles count="1">
    <cellStyle name="Normal" xfId="0" builtinId="0"/>
  </cellStyles>
  <dxfs count="27"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Tajawal"/>
        <scheme val="none"/>
      </font>
      <alignment horizontal="left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ar-YE">
                <a:latin typeface="Tajawal" pitchFamily="2" charset="-78"/>
                <a:cs typeface="Tajawal" pitchFamily="2" charset="-78"/>
              </a:rPr>
              <a:t>Market size development by year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TAM</c:v>
          </c:tx>
          <c:spPr>
            <a:ln>
              <a:prstDash val="solid"/>
            </a:ln>
          </c:spPr>
          <c:marker>
            <c:symbol val="none"/>
          </c:marker>
          <c:cat>
            <c:numRef>
              <c:f>Dashboard!$C$4:$C$8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Dashboard!$D$4:$D$8</c:f>
              <c:numCache>
                <c:formatCode>#,##0</c:formatCode>
                <c:ptCount val="5"/>
                <c:pt idx="0">
                  <c:v>30816793.364670027</c:v>
                </c:pt>
                <c:pt idx="1">
                  <c:v>31463946.025328092</c:v>
                </c:pt>
                <c:pt idx="2">
                  <c:v>32124688.891859978</c:v>
                </c:pt>
                <c:pt idx="3">
                  <c:v>32799307.358589035</c:v>
                </c:pt>
                <c:pt idx="4">
                  <c:v>33488092.813119404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0D6-B344-B422-F3E4789C8D77}"/>
            </c:ext>
          </c:extLst>
        </c:ser>
        <c:ser>
          <c:idx val="1"/>
          <c:order val="1"/>
          <c:tx>
            <c:v>SAM</c:v>
          </c:tx>
          <c:spPr>
            <a:ln>
              <a:prstDash val="solid"/>
            </a:ln>
          </c:spPr>
          <c:marker>
            <c:symbol val="none"/>
          </c:marker>
          <c:cat>
            <c:numRef>
              <c:f>Dashboard!$C$4:$C$8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Dashboard!$E$4:$E$8</c:f>
              <c:numCache>
                <c:formatCode>#,##0</c:formatCode>
                <c:ptCount val="5"/>
                <c:pt idx="0">
                  <c:v>6366826.5511242393</c:v>
                </c:pt>
                <c:pt idx="1">
                  <c:v>6500529.9086978463</c:v>
                </c:pt>
                <c:pt idx="2">
                  <c:v>6637041.0367805008</c:v>
                </c:pt>
                <c:pt idx="3">
                  <c:v>6776418.8985528899</c:v>
                </c:pt>
                <c:pt idx="4">
                  <c:v>6918723.6954225022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0D6-B344-B422-F3E4789C8D77}"/>
            </c:ext>
          </c:extLst>
        </c:ser>
        <c:ser>
          <c:idx val="2"/>
          <c:order val="2"/>
          <c:tx>
            <c:v>SOM</c:v>
          </c:tx>
          <c:spPr>
            <a:ln>
              <a:prstDash val="solid"/>
            </a:ln>
          </c:spPr>
          <c:marker>
            <c:symbol val="none"/>
          </c:marker>
          <c:cat>
            <c:numRef>
              <c:f>Dashboard!$C$4:$C$8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Dashboard!$F$4:$F$8</c:f>
              <c:numCache>
                <c:formatCode>#,##0</c:formatCode>
                <c:ptCount val="5"/>
                <c:pt idx="0">
                  <c:v>60000</c:v>
                </c:pt>
                <c:pt idx="1">
                  <c:v>95000</c:v>
                </c:pt>
                <c:pt idx="2">
                  <c:v>140000</c:v>
                </c:pt>
                <c:pt idx="3">
                  <c:v>200000</c:v>
                </c:pt>
                <c:pt idx="4">
                  <c:v>260000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0D6-B344-B422-F3E4789C8D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>
              <a:latin typeface="Tajawal" pitchFamily="2" charset="-78"/>
              <a:cs typeface="Tajawal" pitchFamily="2" charset="-78"/>
            </a:defRPr>
          </a:pPr>
          <a:endParaRPr lang="en-YE"/>
        </a:p>
      </c:txPr>
    </c:legend>
    <c:plotVisOnly val="1"/>
    <c:dispBlanksAs val="gap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r>
              <a:rPr lang="ar-YE">
                <a:latin typeface="Tajawal" pitchFamily="2" charset="-78"/>
                <a:cs typeface="Tajawal" pitchFamily="2" charset="-78"/>
              </a:rPr>
              <a:t>comparison</a:t>
            </a:r>
            <a:r>
              <a:rPr lang="en-US">
                <a:latin typeface="Tajawal" pitchFamily="2" charset="-78"/>
                <a:cs typeface="Tajawal" pitchFamily="2" charset="-78"/>
              </a:rPr>
              <a:t>TAM / SAM / SOM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TAM</c:v>
          </c:tx>
          <c:spPr>
            <a:ln>
              <a:prstDash val="solid"/>
            </a:ln>
          </c:spPr>
          <c:invertIfNegative val="1"/>
          <c:cat>
            <c:numRef>
              <c:f>Dashboard!$C$4:$C$8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Dashboard!$D$4:$D$8</c:f>
              <c:numCache>
                <c:formatCode>#,##0</c:formatCode>
                <c:ptCount val="5"/>
                <c:pt idx="0">
                  <c:v>30816793.364670027</c:v>
                </c:pt>
                <c:pt idx="1">
                  <c:v>31463946.025328092</c:v>
                </c:pt>
                <c:pt idx="2">
                  <c:v>32124688.891859978</c:v>
                </c:pt>
                <c:pt idx="3">
                  <c:v>32799307.358589035</c:v>
                </c:pt>
                <c:pt idx="4">
                  <c:v>33488092.813119404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12-6E43-AD31-B6AABB1B34DB}"/>
            </c:ext>
          </c:extLst>
        </c:ser>
        <c:ser>
          <c:idx val="1"/>
          <c:order val="1"/>
          <c:tx>
            <c:v>SAM</c:v>
          </c:tx>
          <c:spPr>
            <a:ln>
              <a:prstDash val="solid"/>
            </a:ln>
          </c:spPr>
          <c:invertIfNegative val="1"/>
          <c:cat>
            <c:numRef>
              <c:f>Dashboard!$C$4:$C$8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Dashboard!$E$4:$E$8</c:f>
              <c:numCache>
                <c:formatCode>#,##0</c:formatCode>
                <c:ptCount val="5"/>
                <c:pt idx="0">
                  <c:v>6366826.5511242393</c:v>
                </c:pt>
                <c:pt idx="1">
                  <c:v>6500529.9086978463</c:v>
                </c:pt>
                <c:pt idx="2">
                  <c:v>6637041.0367805008</c:v>
                </c:pt>
                <c:pt idx="3">
                  <c:v>6776418.8985528899</c:v>
                </c:pt>
                <c:pt idx="4">
                  <c:v>6918723.6954225022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12-6E43-AD31-B6AABB1B34DB}"/>
            </c:ext>
          </c:extLst>
        </c:ser>
        <c:ser>
          <c:idx val="2"/>
          <c:order val="2"/>
          <c:tx>
            <c:v>SOM</c:v>
          </c:tx>
          <c:spPr>
            <a:ln>
              <a:prstDash val="solid"/>
            </a:ln>
          </c:spPr>
          <c:invertIfNegative val="1"/>
          <c:cat>
            <c:numRef>
              <c:f>Dashboard!$C$4:$C$8</c:f>
              <c:numCache>
                <c:formatCode>General</c:formatCode>
                <c:ptCount val="5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</c:numCache>
            </c:numRef>
          </c:cat>
          <c:val>
            <c:numRef>
              <c:f>Dashboard!$F$4:$F$8</c:f>
              <c:numCache>
                <c:formatCode>#,##0</c:formatCode>
                <c:ptCount val="5"/>
                <c:pt idx="0">
                  <c:v>60000</c:v>
                </c:pt>
                <c:pt idx="1">
                  <c:v>95000</c:v>
                </c:pt>
                <c:pt idx="2">
                  <c:v>140000</c:v>
                </c:pt>
                <c:pt idx="3">
                  <c:v>200000</c:v>
                </c:pt>
                <c:pt idx="4">
                  <c:v>260000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12-6E43-AD31-B6AABB1B34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;;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8</xdr:col>
      <xdr:colOff>0</xdr:colOff>
      <xdr:row>28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29</xdr:row>
      <xdr:rowOff>0</xdr:rowOff>
    </xdr:from>
    <xdr:to>
      <xdr:col>8</xdr:col>
      <xdr:colOff>0</xdr:colOff>
      <xdr:row>48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ourcesTable" displayName="SourcesTable" ref="A1:F9" headerRowDxfId="19" dataDxfId="18" totalsRowDxfId="17">
  <tableColumns count="6">
    <tableColumn id="1" xr3:uid="{00000000-0010-0000-0000-000001000000}" name="No." dataDxfId="16"/>
    <tableColumn id="2" xr3:uid="{00000000-0010-0000-0000-000002000000}" name="Source" dataDxfId="15"/>
    <tableColumn id="3" xr3:uid="{00000000-0010-0000-0000-000003000000}" name="The side" dataDxfId="14"/>
    <tableColumn id="4" xr3:uid="{00000000-0010-0000-0000-000004000000}" name="Data used" dataDxfId="13"/>
    <tableColumn id="5" xr3:uid="{00000000-0010-0000-0000-000005000000}" name="Link" dataDxfId="12"/>
    <tableColumn id="6" xr3:uid="{00000000-0010-0000-0000-000006000000}" name="Note of us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putsTable" displayName="InputsTable" ref="A1:H37" headerRowDxfId="10" dataDxfId="9" totalsRowDxfId="8">
  <tableColumns count="8">
    <tableColumn id="1" xr3:uid="{00000000-0010-0000-0100-000001000000}" name="Code" dataDxfId="7"/>
    <tableColumn id="2" xr3:uid="{00000000-0010-0000-0100-000002000000}" name="Indicator" dataDxfId="6"/>
    <tableColumn id="3" xr3:uid="{00000000-0010-0000-0100-000003000000}" name="Value" dataDxfId="5"/>
    <tableColumn id="4" xr3:uid="{00000000-0010-0000-0100-000004000000}" name="Unit" dataDxfId="4"/>
    <tableColumn id="5" xr3:uid="{00000000-0010-0000-0100-000005000000}" name="Year" dataDxfId="3"/>
    <tableColumn id="6" xr3:uid="{00000000-0010-0000-0100-000006000000}" name="Input Type" dataDxfId="2"/>
    <tableColumn id="7" xr3:uid="{00000000-0010-0000-0100-000007000000}" name="Brief source" dataDxfId="1"/>
    <tableColumn id="8" xr3:uid="{00000000-0010-0000-0100-000008000000}" name="Source link" dataDxfId="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AssumptionsTable" displayName="AssumptionsTable" ref="A1:H11">
  <tableColumns count="8">
    <tableColumn id="1" xr3:uid="{00000000-0010-0000-0200-000001000000}" name="Group"/>
    <tableColumn id="2" xr3:uid="{00000000-0010-0000-0200-000002000000}" name="Assumption"/>
    <tableColumn id="3" xr3:uid="{00000000-0010-0000-0200-000003000000}" name="2026"/>
    <tableColumn id="4" xr3:uid="{00000000-0010-0000-0200-000004000000}" name="2027"/>
    <tableColumn id="5" xr3:uid="{00000000-0010-0000-0200-000005000000}" name="2028"/>
    <tableColumn id="6" xr3:uid="{00000000-0010-0000-0200-000006000000}" name="2029"/>
    <tableColumn id="7" xr3:uid="{00000000-0010-0000-0200-000007000000}" name="2030"/>
    <tableColumn id="8" xr3:uid="{00000000-0010-0000-0200-000008000000}" name="Source/not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MarketModelTable" displayName="MarketModelTable" ref="A3:F22">
  <tableColumns count="6">
    <tableColumn id="1" xr3:uid="{00000000-0010-0000-0300-000001000000}" name="Indicator"/>
    <tableColumn id="2" xr3:uid="{00000000-0010-0000-0300-000002000000}" name="2026"/>
    <tableColumn id="3" xr3:uid="{00000000-0010-0000-0300-000003000000}" name="2027"/>
    <tableColumn id="4" xr3:uid="{00000000-0010-0000-0300-000004000000}" name="2028"/>
    <tableColumn id="5" xr3:uid="{00000000-0010-0000-0300-000005000000}" name="2029"/>
    <tableColumn id="6" xr3:uid="{00000000-0010-0000-0300-000006000000}" name="203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SegmentsTable" displayName="SegmentsTable" ref="A3:G13">
  <tableColumns count="7">
    <tableColumn id="1" xr3:uid="{00000000-0010-0000-0400-000001000000}" name="Slide"/>
    <tableColumn id="2" xr3:uid="{00000000-0010-0000-0400-000002000000}" name="Calculation method"/>
    <tableColumn id="3" xr3:uid="{00000000-0010-0000-0400-000003000000}" name="2026"/>
    <tableColumn id="4" xr3:uid="{00000000-0010-0000-0400-000004000000}" name="2027"/>
    <tableColumn id="5" xr3:uid="{00000000-0010-0000-0400-000005000000}" name="2028"/>
    <tableColumn id="6" xr3:uid="{00000000-0010-0000-0400-000006000000}" name="2029"/>
    <tableColumn id="7" xr3:uid="{00000000-0010-0000-0400-000007000000}" name="203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MethodologyTable" displayName="MethodologyTable" ref="A3:D9" headerRowDxfId="26" dataDxfId="25" totalsRowDxfId="24">
  <tableColumns count="4">
    <tableColumn id="1" xr3:uid="{00000000-0010-0000-0500-000001000000}" name="item" dataDxfId="23"/>
    <tableColumn id="2" xr3:uid="{00000000-0010-0000-0500-000002000000}" name="Definition" dataDxfId="22"/>
    <tableColumn id="3" xr3:uid="{00000000-0010-0000-0500-000003000000}" name="Equation" dataDxfId="21"/>
    <tableColumn id="4" xr3:uid="{00000000-0010-0000-0500-000004000000}" name="Governance notes" dataDxfId="2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workbookViewId="0">
      <selection sqref="A1:XFD1048576"/>
    </sheetView>
  </sheetViews>
  <sheetFormatPr defaultColWidth="8.875" defaultRowHeight="14.25"/>
  <cols>
    <col min="1" max="1" width="24" style="4" customWidth="1"/>
    <col min="2" max="2" width="110" style="4" customWidth="1"/>
    <col min="3" max="16384" width="8.875" style="4"/>
  </cols>
  <sheetData>
    <row r="1" spans="1:8" ht="26.1" customHeight="1">
      <c r="A1" s="39" t="s">
        <v>459</v>
      </c>
      <c r="B1" s="38"/>
      <c r="C1" s="38"/>
      <c r="D1" s="38"/>
      <c r="E1" s="38"/>
      <c r="F1" s="38"/>
      <c r="G1" s="38"/>
      <c r="H1" s="38"/>
    </row>
    <row r="2" spans="1:8" ht="29.1" customHeight="1">
      <c r="A2" s="37" t="s">
        <v>0</v>
      </c>
      <c r="B2" s="38"/>
      <c r="C2" s="38"/>
      <c r="D2" s="38"/>
      <c r="E2" s="38"/>
      <c r="F2" s="38"/>
      <c r="G2" s="38"/>
      <c r="H2" s="38"/>
    </row>
    <row r="3" spans="1:8" ht="15">
      <c r="A3" s="10" t="s">
        <v>1</v>
      </c>
      <c r="B3" s="40" t="s">
        <v>460</v>
      </c>
      <c r="C3" s="40"/>
      <c r="D3" s="40"/>
      <c r="E3" s="40"/>
      <c r="F3" s="40"/>
      <c r="G3" s="40"/>
      <c r="H3" s="40"/>
    </row>
    <row r="4" spans="1:8" ht="15">
      <c r="A4" s="10" t="s">
        <v>2</v>
      </c>
      <c r="B4" s="34" t="s">
        <v>3</v>
      </c>
      <c r="C4" s="35"/>
      <c r="D4" s="35"/>
      <c r="E4" s="35"/>
      <c r="F4" s="35"/>
      <c r="G4" s="35"/>
      <c r="H4" s="36"/>
    </row>
    <row r="5" spans="1:8" ht="33.950000000000003" customHeight="1">
      <c r="A5" s="10" t="s">
        <v>4</v>
      </c>
      <c r="B5" s="34" t="s">
        <v>5</v>
      </c>
      <c r="C5" s="35"/>
      <c r="D5" s="35"/>
      <c r="E5" s="35"/>
      <c r="F5" s="35"/>
      <c r="G5" s="35"/>
      <c r="H5" s="36"/>
    </row>
    <row r="6" spans="1:8" ht="33.950000000000003" customHeight="1">
      <c r="A6" s="10" t="s">
        <v>6</v>
      </c>
      <c r="B6" s="34" t="s">
        <v>7</v>
      </c>
      <c r="C6" s="35"/>
      <c r="D6" s="35"/>
      <c r="E6" s="35"/>
      <c r="F6" s="35"/>
      <c r="G6" s="35"/>
      <c r="H6" s="36"/>
    </row>
    <row r="7" spans="1:8" ht="15">
      <c r="A7" s="10" t="s">
        <v>8</v>
      </c>
      <c r="B7" s="34" t="s">
        <v>9</v>
      </c>
      <c r="C7" s="35"/>
      <c r="D7" s="35"/>
      <c r="E7" s="35"/>
      <c r="F7" s="35"/>
      <c r="G7" s="35"/>
      <c r="H7" s="36"/>
    </row>
    <row r="8" spans="1:8" ht="15">
      <c r="A8" s="10" t="s">
        <v>10</v>
      </c>
      <c r="B8" s="34" t="s">
        <v>11</v>
      </c>
      <c r="C8" s="35"/>
      <c r="D8" s="35"/>
      <c r="E8" s="35"/>
      <c r="F8" s="35"/>
      <c r="G8" s="35"/>
      <c r="H8" s="36"/>
    </row>
    <row r="9" spans="1:8" ht="15">
      <c r="A9" s="10" t="s">
        <v>12</v>
      </c>
      <c r="B9" s="34" t="s">
        <v>13</v>
      </c>
      <c r="C9" s="35"/>
      <c r="D9" s="35"/>
      <c r="E9" s="35"/>
      <c r="F9" s="35"/>
      <c r="G9" s="35"/>
      <c r="H9" s="36"/>
    </row>
  </sheetData>
  <mergeCells count="9">
    <mergeCell ref="B7:H7"/>
    <mergeCell ref="B8:H8"/>
    <mergeCell ref="B9:H9"/>
    <mergeCell ref="A2:H2"/>
    <mergeCell ref="A1:H1"/>
    <mergeCell ref="B3:H3"/>
    <mergeCell ref="B4:H4"/>
    <mergeCell ref="B5:H5"/>
    <mergeCell ref="B6:H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0"/>
  <sheetViews>
    <sheetView topLeftCell="D1" workbookViewId="0">
      <selection sqref="A1:XFD1048576"/>
    </sheetView>
  </sheetViews>
  <sheetFormatPr defaultColWidth="8.875" defaultRowHeight="14.25"/>
  <cols>
    <col min="1" max="1" width="8" style="4" customWidth="1"/>
    <col min="2" max="2" width="32" style="4" customWidth="1"/>
    <col min="3" max="3" width="26" style="4" customWidth="1"/>
    <col min="4" max="4" width="56" style="4" customWidth="1"/>
    <col min="5" max="5" width="18" style="4" customWidth="1"/>
    <col min="6" max="6" width="54" style="4" customWidth="1"/>
    <col min="7" max="7" width="48" style="4" customWidth="1"/>
    <col min="8" max="16384" width="8.875" style="4"/>
  </cols>
  <sheetData>
    <row r="1" spans="1:8" ht="15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2" t="s">
        <v>20</v>
      </c>
      <c r="H1" s="3"/>
    </row>
    <row r="2" spans="1:8" ht="42.75">
      <c r="A2" s="5">
        <v>1</v>
      </c>
      <c r="B2" s="5" t="s">
        <v>21</v>
      </c>
      <c r="C2" s="5" t="s">
        <v>22</v>
      </c>
      <c r="D2" s="5" t="s">
        <v>23</v>
      </c>
      <c r="E2" s="5" t="str">
        <f>HYPERLINK("https://cbi.iq/static/uploads/up/file-175032973296039.pdf","Open Source")</f>
        <v>Open Source</v>
      </c>
      <c r="F2" s="5" t="s">
        <v>24</v>
      </c>
      <c r="G2" s="6" t="s">
        <v>25</v>
      </c>
      <c r="H2" s="3"/>
    </row>
    <row r="3" spans="1:8">
      <c r="A3" s="5">
        <v>2</v>
      </c>
      <c r="B3" s="5" t="s">
        <v>26</v>
      </c>
      <c r="C3" s="5" t="s">
        <v>27</v>
      </c>
      <c r="D3" s="5" t="s">
        <v>28</v>
      </c>
      <c r="E3" s="5" t="str">
        <f>HYPERLINK("https://data.worldbank.org/country/iraq","Open Source")</f>
        <v>Open Source</v>
      </c>
      <c r="F3" s="5" t="s">
        <v>29</v>
      </c>
      <c r="G3" s="6" t="s">
        <v>30</v>
      </c>
      <c r="H3" s="3"/>
    </row>
    <row r="4" spans="1:8" ht="42.75">
      <c r="A4" s="5">
        <v>3</v>
      </c>
      <c r="B4" s="5" t="s">
        <v>31</v>
      </c>
      <c r="C4" s="5" t="s">
        <v>32</v>
      </c>
      <c r="D4" s="5" t="s">
        <v>33</v>
      </c>
      <c r="E4" s="5" t="str">
        <f>HYPERLINK("https://datahub.itu.int/data/?e=IRQ&amp;i=11624","Open Source")</f>
        <v>Open Source</v>
      </c>
      <c r="F4" s="5" t="s">
        <v>34</v>
      </c>
      <c r="G4" s="6" t="s">
        <v>35</v>
      </c>
      <c r="H4" s="3"/>
    </row>
    <row r="5" spans="1:8" ht="28.5">
      <c r="A5" s="5">
        <v>4</v>
      </c>
      <c r="B5" s="5" t="s">
        <v>36</v>
      </c>
      <c r="C5" s="5" t="s">
        <v>37</v>
      </c>
      <c r="D5" s="5" t="s">
        <v>38</v>
      </c>
      <c r="E5" s="5" t="str">
        <f>HYPERLINK("https://data.worldbank.org/indicator/IT.CEL.SETS?locations=IQ","Open Source")</f>
        <v>Open Source</v>
      </c>
      <c r="F5" s="5" t="s">
        <v>39</v>
      </c>
      <c r="G5" s="6" t="s">
        <v>40</v>
      </c>
      <c r="H5" s="3"/>
    </row>
    <row r="6" spans="1:8" ht="42.75">
      <c r="A6" s="5">
        <v>5</v>
      </c>
      <c r="B6" s="5" t="s">
        <v>41</v>
      </c>
      <c r="C6" s="5" t="s">
        <v>27</v>
      </c>
      <c r="D6" s="5" t="s">
        <v>42</v>
      </c>
      <c r="E6" s="5" t="str">
        <f>HYPERLINK("https://documents1.worldbank.org/curated/en/099641504212589716/pdf/IDU-2666c9d6-2a72-4112-912d-deeb8c48bb48.pdf","Open Source")</f>
        <v>Open Source</v>
      </c>
      <c r="F6" s="5" t="s">
        <v>43</v>
      </c>
      <c r="G6" s="6" t="s">
        <v>44</v>
      </c>
      <c r="H6" s="3"/>
    </row>
    <row r="7" spans="1:8" ht="42.75">
      <c r="A7" s="5">
        <v>6</v>
      </c>
      <c r="B7" s="5" t="s">
        <v>45</v>
      </c>
      <c r="C7" s="5" t="s">
        <v>46</v>
      </c>
      <c r="D7" s="5" t="s">
        <v>47</v>
      </c>
      <c r="E7" s="5" t="str">
        <f>HYPERLINK("https://www.imf.org/en/news/articles/2025/07/08/pr-25243-iraq-imf-executive-board-concludes-2025-article-iv-consultation","Open Source")</f>
        <v>Open Source</v>
      </c>
      <c r="F7" s="5" t="s">
        <v>48</v>
      </c>
      <c r="G7" s="6" t="s">
        <v>49</v>
      </c>
      <c r="H7" s="3"/>
    </row>
    <row r="8" spans="1:8" ht="28.5">
      <c r="A8" s="5">
        <v>7</v>
      </c>
      <c r="B8" s="5" t="s">
        <v>50</v>
      </c>
      <c r="C8" s="5" t="s">
        <v>51</v>
      </c>
      <c r="D8" s="5" t="s">
        <v>52</v>
      </c>
      <c r="E8" s="5" t="str">
        <f>HYPERLINK("https://www.ifc.org/content/dam/ifc/doc/2023-delta/market-bite-iraq.pdf","Open Source")</f>
        <v>Open Source</v>
      </c>
      <c r="F8" s="5" t="s">
        <v>53</v>
      </c>
      <c r="G8" s="6" t="s">
        <v>54</v>
      </c>
      <c r="H8" s="3"/>
    </row>
    <row r="9" spans="1:8" ht="28.5">
      <c r="A9" s="5">
        <v>8</v>
      </c>
      <c r="B9" s="5" t="s">
        <v>55</v>
      </c>
      <c r="C9" s="5" t="s">
        <v>22</v>
      </c>
      <c r="D9" s="5" t="s">
        <v>56</v>
      </c>
      <c r="E9" s="5" t="str">
        <f>HYPERLINK("https://cbi.iq/static/uploads/up/file-176050874125670.pdf","Open Source")</f>
        <v>Open Source</v>
      </c>
      <c r="F9" s="5" t="s">
        <v>57</v>
      </c>
      <c r="G9" s="6" t="s">
        <v>58</v>
      </c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0"/>
  <sheetViews>
    <sheetView workbookViewId="0">
      <selection sqref="A1:XFD1048576"/>
    </sheetView>
  </sheetViews>
  <sheetFormatPr defaultColWidth="8.875" defaultRowHeight="14.25"/>
  <cols>
    <col min="1" max="1" width="22" style="4" customWidth="1"/>
    <col min="2" max="2" width="48" style="4" customWidth="1"/>
    <col min="3" max="4" width="18" style="4" customWidth="1"/>
    <col min="5" max="5" width="12" style="4" customWidth="1"/>
    <col min="6" max="6" width="24" style="4" customWidth="1"/>
    <col min="7" max="7" width="56" style="4" customWidth="1"/>
    <col min="8" max="8" width="18" style="4" customWidth="1"/>
    <col min="9" max="9" width="48" style="4" customWidth="1"/>
    <col min="10" max="16384" width="8.875" style="4"/>
  </cols>
  <sheetData>
    <row r="1" spans="1:9" ht="15">
      <c r="A1" s="1" t="s">
        <v>59</v>
      </c>
      <c r="B1" s="1" t="s">
        <v>60</v>
      </c>
      <c r="C1" s="1" t="s">
        <v>61</v>
      </c>
      <c r="D1" s="1" t="s">
        <v>62</v>
      </c>
      <c r="E1" s="1" t="s">
        <v>63</v>
      </c>
      <c r="F1" s="1" t="s">
        <v>64</v>
      </c>
      <c r="G1" s="1" t="s">
        <v>65</v>
      </c>
      <c r="H1" s="1" t="s">
        <v>18</v>
      </c>
      <c r="I1" s="2" t="s">
        <v>20</v>
      </c>
    </row>
    <row r="2" spans="1:9" ht="42.75">
      <c r="A2" s="5" t="s">
        <v>66</v>
      </c>
      <c r="B2" s="5" t="s">
        <v>67</v>
      </c>
      <c r="C2" s="7">
        <v>46118793</v>
      </c>
      <c r="D2" s="5" t="s">
        <v>68</v>
      </c>
      <c r="E2" s="5">
        <v>2024</v>
      </c>
      <c r="F2" s="5" t="s">
        <v>69</v>
      </c>
      <c r="G2" s="5" t="s">
        <v>70</v>
      </c>
      <c r="H2" s="5" t="str">
        <f>HYPERLINK("https://documents1.worldbank.org/curated/en/099641504212589716/pdf/IDU-2666c9d6-2a72-4112-912d-deeb8c48bb48.pdf","Open Source")</f>
        <v>Open Source</v>
      </c>
      <c r="I2" s="6" t="s">
        <v>44</v>
      </c>
    </row>
    <row r="3" spans="1:9" ht="42.75">
      <c r="A3" s="5" t="s">
        <v>71</v>
      </c>
      <c r="B3" s="5" t="s">
        <v>72</v>
      </c>
      <c r="C3" s="8">
        <v>0.60440000000000005</v>
      </c>
      <c r="D3" s="5" t="s">
        <v>73</v>
      </c>
      <c r="E3" s="5">
        <v>2024</v>
      </c>
      <c r="F3" s="5" t="s">
        <v>69</v>
      </c>
      <c r="G3" s="5" t="s">
        <v>74</v>
      </c>
      <c r="H3" s="5" t="str">
        <f>HYPERLINK("https://documents1.worldbank.org/curated/en/099641504212589716/pdf/IDU-2666c9d6-2a72-4112-912d-deeb8c48bb48.pdf","Open Source")</f>
        <v>Open Source</v>
      </c>
      <c r="I3" s="6" t="s">
        <v>44</v>
      </c>
    </row>
    <row r="4" spans="1:9" ht="42.75">
      <c r="A4" s="5" t="s">
        <v>75</v>
      </c>
      <c r="B4" s="5" t="s">
        <v>76</v>
      </c>
      <c r="C4" s="8">
        <v>3.6600000000000001E-2</v>
      </c>
      <c r="D4" s="5" t="s">
        <v>73</v>
      </c>
      <c r="E4" s="5">
        <v>2024</v>
      </c>
      <c r="F4" s="5" t="s">
        <v>69</v>
      </c>
      <c r="G4" s="5" t="s">
        <v>74</v>
      </c>
      <c r="H4" s="5" t="str">
        <f>HYPERLINK("https://documents1.worldbank.org/curated/en/099641504212589716/pdf/IDU-2666c9d6-2a72-4112-912d-deeb8c48bb48.pdf","Open Source")</f>
        <v>Open Source</v>
      </c>
      <c r="I4" s="6" t="s">
        <v>44</v>
      </c>
    </row>
    <row r="5" spans="1:9" ht="42.75">
      <c r="A5" s="5" t="s">
        <v>77</v>
      </c>
      <c r="B5" s="5" t="s">
        <v>78</v>
      </c>
      <c r="C5" s="8">
        <v>0.70169999999999999</v>
      </c>
      <c r="D5" s="5" t="s">
        <v>73</v>
      </c>
      <c r="E5" s="5">
        <v>2024</v>
      </c>
      <c r="F5" s="5" t="s">
        <v>69</v>
      </c>
      <c r="G5" s="5" t="s">
        <v>74</v>
      </c>
      <c r="H5" s="5" t="str">
        <f>HYPERLINK("https://documents1.worldbank.org/curated/en/099641504212589716/pdf/IDU-2666c9d6-2a72-4112-912d-deeb8c48bb48.pdf","Open Source")</f>
        <v>Open Source</v>
      </c>
      <c r="I5" s="6" t="s">
        <v>44</v>
      </c>
    </row>
    <row r="6" spans="1:9" ht="42.75">
      <c r="A6" s="5" t="s">
        <v>79</v>
      </c>
      <c r="B6" s="5" t="s">
        <v>80</v>
      </c>
      <c r="C6" s="8">
        <v>0.29830000000000001</v>
      </c>
      <c r="D6" s="5" t="s">
        <v>73</v>
      </c>
      <c r="E6" s="5">
        <v>2024</v>
      </c>
      <c r="F6" s="5" t="s">
        <v>69</v>
      </c>
      <c r="G6" s="5" t="s">
        <v>74</v>
      </c>
      <c r="H6" s="5" t="str">
        <f>HYPERLINK("https://documents1.worldbank.org/curated/en/099641504212589716/pdf/IDU-2666c9d6-2a72-4112-912d-deeb8c48bb48.pdf","Open Source")</f>
        <v>Open Source</v>
      </c>
      <c r="I6" s="6" t="s">
        <v>44</v>
      </c>
    </row>
    <row r="7" spans="1:9">
      <c r="A7" s="5" t="s">
        <v>81</v>
      </c>
      <c r="B7" s="5" t="s">
        <v>82</v>
      </c>
      <c r="C7" s="8">
        <v>0.81499999999999995</v>
      </c>
      <c r="D7" s="5" t="s">
        <v>73</v>
      </c>
      <c r="E7" s="5">
        <v>2024</v>
      </c>
      <c r="F7" s="5" t="s">
        <v>69</v>
      </c>
      <c r="G7" s="5" t="s">
        <v>32</v>
      </c>
      <c r="H7" s="5" t="str">
        <f>HYPERLINK("https://datahub.itu.int/data/?e=IRQ&amp;i=11624","Open Source")</f>
        <v>Open Source</v>
      </c>
      <c r="I7" s="6" t="s">
        <v>35</v>
      </c>
    </row>
    <row r="8" spans="1:9" ht="28.5">
      <c r="A8" s="5" t="s">
        <v>83</v>
      </c>
      <c r="B8" s="5" t="s">
        <v>36</v>
      </c>
      <c r="C8" s="7">
        <v>46078976</v>
      </c>
      <c r="D8" s="5" t="s">
        <v>84</v>
      </c>
      <c r="E8" s="5">
        <v>2024</v>
      </c>
      <c r="F8" s="5" t="s">
        <v>69</v>
      </c>
      <c r="G8" s="5" t="s">
        <v>37</v>
      </c>
      <c r="H8" s="5" t="str">
        <f>HYPERLINK("https://data.worldbank.org/indicator/IT.CEL.SETS?locations=IQ","Open Source")</f>
        <v>Open Source</v>
      </c>
      <c r="I8" s="6" t="s">
        <v>40</v>
      </c>
    </row>
    <row r="9" spans="1:9" ht="28.5">
      <c r="A9" s="5" t="s">
        <v>85</v>
      </c>
      <c r="B9" s="5" t="s">
        <v>86</v>
      </c>
      <c r="C9" s="8">
        <v>0.11</v>
      </c>
      <c r="D9" s="5" t="s">
        <v>73</v>
      </c>
      <c r="E9" s="5">
        <v>2024</v>
      </c>
      <c r="F9" s="5" t="s">
        <v>87</v>
      </c>
      <c r="G9" s="5" t="s">
        <v>88</v>
      </c>
      <c r="H9" s="5" t="str">
        <f t="shared" ref="H9:H21" si="0">HYPERLINK("https://cbi.iq/static/uploads/up/file-175032973296039.pdf","Open Source")</f>
        <v>Open Source</v>
      </c>
      <c r="I9" s="6" t="s">
        <v>25</v>
      </c>
    </row>
    <row r="10" spans="1:9" ht="28.5">
      <c r="A10" s="5" t="s">
        <v>89</v>
      </c>
      <c r="B10" s="5" t="s">
        <v>90</v>
      </c>
      <c r="C10" s="8">
        <v>0.19</v>
      </c>
      <c r="D10" s="5" t="s">
        <v>73</v>
      </c>
      <c r="E10" s="5">
        <v>2021</v>
      </c>
      <c r="F10" s="5" t="s">
        <v>91</v>
      </c>
      <c r="G10" s="5" t="s">
        <v>92</v>
      </c>
      <c r="H10" s="5" t="str">
        <f t="shared" si="0"/>
        <v>Open Source</v>
      </c>
      <c r="I10" s="6" t="s">
        <v>25</v>
      </c>
    </row>
    <row r="11" spans="1:9" ht="28.5">
      <c r="A11" s="5" t="s">
        <v>93</v>
      </c>
      <c r="B11" s="5" t="s">
        <v>94</v>
      </c>
      <c r="C11" s="8">
        <v>0.5</v>
      </c>
      <c r="D11" s="5" t="s">
        <v>73</v>
      </c>
      <c r="E11" s="5">
        <v>2030</v>
      </c>
      <c r="F11" s="5" t="s">
        <v>95</v>
      </c>
      <c r="G11" s="5" t="s">
        <v>88</v>
      </c>
      <c r="H11" s="5" t="str">
        <f t="shared" si="0"/>
        <v>Open Source</v>
      </c>
      <c r="I11" s="6" t="s">
        <v>25</v>
      </c>
    </row>
    <row r="12" spans="1:9">
      <c r="A12" s="5" t="s">
        <v>96</v>
      </c>
      <c r="B12" s="5" t="s">
        <v>97</v>
      </c>
      <c r="C12" s="8">
        <v>0.85</v>
      </c>
      <c r="D12" s="5" t="s">
        <v>73</v>
      </c>
      <c r="E12" s="5">
        <v>2030</v>
      </c>
      <c r="F12" s="5" t="s">
        <v>95</v>
      </c>
      <c r="G12" s="5" t="s">
        <v>88</v>
      </c>
      <c r="H12" s="5" t="str">
        <f t="shared" si="0"/>
        <v>Open Source</v>
      </c>
      <c r="I12" s="6" t="s">
        <v>25</v>
      </c>
    </row>
    <row r="13" spans="1:9">
      <c r="A13" s="5" t="s">
        <v>98</v>
      </c>
      <c r="B13" s="5" t="s">
        <v>99</v>
      </c>
      <c r="C13" s="8">
        <v>0.04</v>
      </c>
      <c r="D13" s="5" t="s">
        <v>73</v>
      </c>
      <c r="E13" s="5">
        <v>2024</v>
      </c>
      <c r="F13" s="5" t="s">
        <v>100</v>
      </c>
      <c r="G13" s="5" t="s">
        <v>101</v>
      </c>
      <c r="H13" s="5" t="str">
        <f t="shared" si="0"/>
        <v>Open Source</v>
      </c>
      <c r="I13" s="6" t="s">
        <v>25</v>
      </c>
    </row>
    <row r="14" spans="1:9">
      <c r="A14" s="5" t="s">
        <v>102</v>
      </c>
      <c r="B14" s="5" t="s">
        <v>103</v>
      </c>
      <c r="C14" s="8">
        <v>0.27</v>
      </c>
      <c r="D14" s="5" t="s">
        <v>73</v>
      </c>
      <c r="E14" s="5">
        <v>2024</v>
      </c>
      <c r="F14" s="5" t="s">
        <v>100</v>
      </c>
      <c r="G14" s="5" t="s">
        <v>101</v>
      </c>
      <c r="H14" s="5" t="str">
        <f t="shared" si="0"/>
        <v>Open Source</v>
      </c>
      <c r="I14" s="6" t="s">
        <v>25</v>
      </c>
    </row>
    <row r="15" spans="1:9">
      <c r="A15" s="5" t="s">
        <v>104</v>
      </c>
      <c r="B15" s="5" t="s">
        <v>105</v>
      </c>
      <c r="C15" s="8">
        <v>0.95</v>
      </c>
      <c r="D15" s="5" t="s">
        <v>73</v>
      </c>
      <c r="E15" s="5">
        <v>2024</v>
      </c>
      <c r="F15" s="5" t="s">
        <v>100</v>
      </c>
      <c r="G15" s="5" t="s">
        <v>101</v>
      </c>
      <c r="H15" s="5" t="str">
        <f t="shared" si="0"/>
        <v>Open Source</v>
      </c>
      <c r="I15" s="6" t="s">
        <v>25</v>
      </c>
    </row>
    <row r="16" spans="1:9" ht="28.5">
      <c r="A16" s="5" t="s">
        <v>106</v>
      </c>
      <c r="B16" s="5" t="s">
        <v>107</v>
      </c>
      <c r="C16" s="8">
        <v>0.5</v>
      </c>
      <c r="D16" s="5" t="s">
        <v>73</v>
      </c>
      <c r="E16" s="5">
        <v>2024</v>
      </c>
      <c r="F16" s="5" t="s">
        <v>100</v>
      </c>
      <c r="G16" s="5" t="s">
        <v>101</v>
      </c>
      <c r="H16" s="5" t="str">
        <f t="shared" si="0"/>
        <v>Open Source</v>
      </c>
      <c r="I16" s="6" t="s">
        <v>25</v>
      </c>
    </row>
    <row r="17" spans="1:9" ht="28.5">
      <c r="A17" s="5" t="s">
        <v>108</v>
      </c>
      <c r="B17" s="5" t="s">
        <v>109</v>
      </c>
      <c r="C17" s="8">
        <v>0.62</v>
      </c>
      <c r="D17" s="5" t="s">
        <v>73</v>
      </c>
      <c r="E17" s="5">
        <v>2024</v>
      </c>
      <c r="F17" s="5" t="s">
        <v>100</v>
      </c>
      <c r="G17" s="5" t="s">
        <v>101</v>
      </c>
      <c r="H17" s="5" t="str">
        <f t="shared" si="0"/>
        <v>Open Source</v>
      </c>
      <c r="I17" s="6" t="s">
        <v>25</v>
      </c>
    </row>
    <row r="18" spans="1:9">
      <c r="A18" s="5" t="s">
        <v>110</v>
      </c>
      <c r="B18" s="5" t="s">
        <v>111</v>
      </c>
      <c r="C18" s="8">
        <v>0.22</v>
      </c>
      <c r="D18" s="5" t="s">
        <v>73</v>
      </c>
      <c r="E18" s="5">
        <v>2024</v>
      </c>
      <c r="F18" s="5" t="s">
        <v>100</v>
      </c>
      <c r="G18" s="5" t="s">
        <v>101</v>
      </c>
      <c r="H18" s="5" t="str">
        <f t="shared" si="0"/>
        <v>Open Source</v>
      </c>
      <c r="I18" s="6" t="s">
        <v>25</v>
      </c>
    </row>
    <row r="19" spans="1:9">
      <c r="A19" s="5" t="s">
        <v>112</v>
      </c>
      <c r="B19" s="5" t="s">
        <v>113</v>
      </c>
      <c r="C19" s="8">
        <v>0.06</v>
      </c>
      <c r="D19" s="5" t="s">
        <v>73</v>
      </c>
      <c r="E19" s="5">
        <v>2024</v>
      </c>
      <c r="F19" s="5" t="s">
        <v>100</v>
      </c>
      <c r="G19" s="5" t="s">
        <v>101</v>
      </c>
      <c r="H19" s="5" t="str">
        <f t="shared" si="0"/>
        <v>Open Source</v>
      </c>
      <c r="I19" s="6" t="s">
        <v>25</v>
      </c>
    </row>
    <row r="20" spans="1:9" ht="28.5">
      <c r="A20" s="5" t="s">
        <v>114</v>
      </c>
      <c r="B20" s="5" t="s">
        <v>115</v>
      </c>
      <c r="C20" s="8">
        <v>0.16</v>
      </c>
      <c r="D20" s="5" t="s">
        <v>73</v>
      </c>
      <c r="E20" s="5">
        <v>2024</v>
      </c>
      <c r="F20" s="5" t="s">
        <v>100</v>
      </c>
      <c r="G20" s="5" t="s">
        <v>101</v>
      </c>
      <c r="H20" s="5" t="str">
        <f t="shared" si="0"/>
        <v>Open Source</v>
      </c>
      <c r="I20" s="6" t="s">
        <v>25</v>
      </c>
    </row>
    <row r="21" spans="1:9" ht="28.5">
      <c r="A21" s="5" t="s">
        <v>116</v>
      </c>
      <c r="B21" s="5" t="s">
        <v>117</v>
      </c>
      <c r="C21" s="8">
        <v>0.11</v>
      </c>
      <c r="D21" s="5" t="s">
        <v>73</v>
      </c>
      <c r="E21" s="5">
        <v>2024</v>
      </c>
      <c r="F21" s="5" t="s">
        <v>100</v>
      </c>
      <c r="G21" s="5" t="s">
        <v>101</v>
      </c>
      <c r="H21" s="5" t="str">
        <f t="shared" si="0"/>
        <v>Open Source</v>
      </c>
      <c r="I21" s="6" t="s">
        <v>25</v>
      </c>
    </row>
    <row r="22" spans="1:9" ht="28.5">
      <c r="A22" s="5" t="s">
        <v>118</v>
      </c>
      <c r="B22" s="5" t="s">
        <v>119</v>
      </c>
      <c r="C22" s="7">
        <v>377000</v>
      </c>
      <c r="D22" s="5" t="s">
        <v>120</v>
      </c>
      <c r="E22" s="5">
        <v>2021</v>
      </c>
      <c r="F22" s="5" t="s">
        <v>121</v>
      </c>
      <c r="G22" s="5" t="s">
        <v>51</v>
      </c>
      <c r="H22" s="5" t="str">
        <f>HYPERLINK("https://www.ifc.org/content/dam/ifc/doc/2023-delta/market-bite-iraq.pdf","Open Source")</f>
        <v>Open Source</v>
      </c>
      <c r="I22" s="6" t="s">
        <v>54</v>
      </c>
    </row>
    <row r="23" spans="1:9" ht="28.5">
      <c r="A23" s="5" t="s">
        <v>122</v>
      </c>
      <c r="B23" s="5" t="s">
        <v>123</v>
      </c>
      <c r="C23" s="7">
        <v>840000</v>
      </c>
      <c r="D23" s="5" t="s">
        <v>120</v>
      </c>
      <c r="E23" s="5">
        <v>2021</v>
      </c>
      <c r="F23" s="5" t="s">
        <v>121</v>
      </c>
      <c r="G23" s="5" t="s">
        <v>51</v>
      </c>
      <c r="H23" s="5" t="str">
        <f>HYPERLINK("https://www.ifc.org/content/dam/ifc/doc/2023-delta/market-bite-iraq.pdf","Open Source")</f>
        <v>Open Source</v>
      </c>
      <c r="I23" s="6" t="s">
        <v>54</v>
      </c>
    </row>
    <row r="24" spans="1:9">
      <c r="A24" s="5" t="s">
        <v>124</v>
      </c>
      <c r="B24" s="5" t="s">
        <v>125</v>
      </c>
      <c r="C24" s="8">
        <v>0.72</v>
      </c>
      <c r="D24" s="5" t="s">
        <v>73</v>
      </c>
      <c r="E24" s="5">
        <v>2024</v>
      </c>
      <c r="F24" s="5" t="s">
        <v>100</v>
      </c>
      <c r="G24" s="5" t="s">
        <v>126</v>
      </c>
      <c r="H24" s="5" t="str">
        <f t="shared" ref="H24:H34" si="1">HYPERLINK("https://cbi.iq/static/uploads/up/file-175032973296039.pdf","Open Source")</f>
        <v>Open Source</v>
      </c>
      <c r="I24" s="6" t="s">
        <v>25</v>
      </c>
    </row>
    <row r="25" spans="1:9" ht="28.5">
      <c r="A25" s="5" t="s">
        <v>127</v>
      </c>
      <c r="B25" s="5" t="s">
        <v>128</v>
      </c>
      <c r="C25" s="8">
        <v>0.14000000000000001</v>
      </c>
      <c r="D25" s="5" t="s">
        <v>73</v>
      </c>
      <c r="E25" s="5">
        <v>2024</v>
      </c>
      <c r="F25" s="5" t="s">
        <v>100</v>
      </c>
      <c r="G25" s="5" t="s">
        <v>126</v>
      </c>
      <c r="H25" s="5" t="str">
        <f t="shared" si="1"/>
        <v>Open Source</v>
      </c>
      <c r="I25" s="6" t="s">
        <v>25</v>
      </c>
    </row>
    <row r="26" spans="1:9" ht="28.5">
      <c r="A26" s="5" t="s">
        <v>129</v>
      </c>
      <c r="B26" s="5" t="s">
        <v>130</v>
      </c>
      <c r="C26" s="8">
        <v>0.02</v>
      </c>
      <c r="D26" s="5" t="s">
        <v>73</v>
      </c>
      <c r="E26" s="5">
        <v>2024</v>
      </c>
      <c r="F26" s="5" t="s">
        <v>100</v>
      </c>
      <c r="G26" s="5" t="s">
        <v>126</v>
      </c>
      <c r="H26" s="5" t="str">
        <f t="shared" si="1"/>
        <v>Open Source</v>
      </c>
      <c r="I26" s="6" t="s">
        <v>25</v>
      </c>
    </row>
    <row r="27" spans="1:9" ht="28.5">
      <c r="A27" s="5" t="s">
        <v>131</v>
      </c>
      <c r="B27" s="5" t="s">
        <v>132</v>
      </c>
      <c r="C27" s="8">
        <v>0.85</v>
      </c>
      <c r="D27" s="5" t="s">
        <v>73</v>
      </c>
      <c r="E27" s="5">
        <v>2024</v>
      </c>
      <c r="F27" s="5" t="s">
        <v>100</v>
      </c>
      <c r="G27" s="5" t="s">
        <v>126</v>
      </c>
      <c r="H27" s="5" t="str">
        <f t="shared" si="1"/>
        <v>Open Source</v>
      </c>
      <c r="I27" s="6" t="s">
        <v>25</v>
      </c>
    </row>
    <row r="28" spans="1:9">
      <c r="A28" s="5" t="s">
        <v>133</v>
      </c>
      <c r="B28" s="5" t="s">
        <v>134</v>
      </c>
      <c r="C28" s="7">
        <v>7400000</v>
      </c>
      <c r="D28" s="5" t="s">
        <v>135</v>
      </c>
      <c r="E28" s="5">
        <v>2024</v>
      </c>
      <c r="F28" s="5" t="s">
        <v>100</v>
      </c>
      <c r="G28" s="5" t="s">
        <v>126</v>
      </c>
      <c r="H28" s="5" t="str">
        <f t="shared" si="1"/>
        <v>Open Source</v>
      </c>
      <c r="I28" s="6" t="s">
        <v>25</v>
      </c>
    </row>
    <row r="29" spans="1:9">
      <c r="A29" s="5" t="s">
        <v>136</v>
      </c>
      <c r="B29" s="5" t="s">
        <v>137</v>
      </c>
      <c r="C29" s="7">
        <v>63881</v>
      </c>
      <c r="D29" s="5" t="s">
        <v>138</v>
      </c>
      <c r="E29" s="5">
        <v>2024</v>
      </c>
      <c r="F29" s="5" t="s">
        <v>100</v>
      </c>
      <c r="G29" s="5" t="s">
        <v>126</v>
      </c>
      <c r="H29" s="5" t="str">
        <f t="shared" si="1"/>
        <v>Open Source</v>
      </c>
      <c r="I29" s="6" t="s">
        <v>25</v>
      </c>
    </row>
    <row r="30" spans="1:9">
      <c r="A30" s="5" t="s">
        <v>139</v>
      </c>
      <c r="B30" s="5" t="s">
        <v>140</v>
      </c>
      <c r="C30" s="7">
        <v>30980</v>
      </c>
      <c r="D30" s="5" t="s">
        <v>141</v>
      </c>
      <c r="E30" s="5">
        <v>2024</v>
      </c>
      <c r="F30" s="5" t="s">
        <v>100</v>
      </c>
      <c r="G30" s="5" t="s">
        <v>126</v>
      </c>
      <c r="H30" s="5" t="str">
        <f t="shared" si="1"/>
        <v>Open Source</v>
      </c>
      <c r="I30" s="6" t="s">
        <v>25</v>
      </c>
    </row>
    <row r="31" spans="1:9">
      <c r="A31" s="5" t="s">
        <v>142</v>
      </c>
      <c r="B31" s="5" t="s">
        <v>143</v>
      </c>
      <c r="C31" s="7">
        <v>8000</v>
      </c>
      <c r="D31" s="5" t="s">
        <v>144</v>
      </c>
      <c r="E31" s="5">
        <v>2024</v>
      </c>
      <c r="F31" s="5" t="s">
        <v>100</v>
      </c>
      <c r="G31" s="5" t="s">
        <v>126</v>
      </c>
      <c r="H31" s="5" t="str">
        <f t="shared" si="1"/>
        <v>Open Source</v>
      </c>
      <c r="I31" s="6" t="s">
        <v>25</v>
      </c>
    </row>
    <row r="32" spans="1:9">
      <c r="A32" s="5" t="s">
        <v>145</v>
      </c>
      <c r="B32" s="5" t="s">
        <v>146</v>
      </c>
      <c r="C32" s="7">
        <v>876</v>
      </c>
      <c r="D32" s="5" t="s">
        <v>147</v>
      </c>
      <c r="E32" s="5">
        <v>2024</v>
      </c>
      <c r="F32" s="5" t="s">
        <v>100</v>
      </c>
      <c r="G32" s="5" t="s">
        <v>126</v>
      </c>
      <c r="H32" s="5" t="str">
        <f t="shared" si="1"/>
        <v>Open Source</v>
      </c>
      <c r="I32" s="6" t="s">
        <v>25</v>
      </c>
    </row>
    <row r="33" spans="1:9" ht="28.5">
      <c r="A33" s="5" t="s">
        <v>148</v>
      </c>
      <c r="B33" s="5" t="s">
        <v>149</v>
      </c>
      <c r="C33" s="7">
        <v>31</v>
      </c>
      <c r="D33" s="5" t="s">
        <v>150</v>
      </c>
      <c r="E33" s="5">
        <v>2024</v>
      </c>
      <c r="F33" s="5" t="s">
        <v>100</v>
      </c>
      <c r="G33" s="5" t="s">
        <v>151</v>
      </c>
      <c r="H33" s="5" t="str">
        <f t="shared" si="1"/>
        <v>Open Source</v>
      </c>
      <c r="I33" s="6" t="s">
        <v>25</v>
      </c>
    </row>
    <row r="34" spans="1:9">
      <c r="A34" s="5" t="s">
        <v>152</v>
      </c>
      <c r="B34" s="5" t="s">
        <v>153</v>
      </c>
      <c r="C34" s="7">
        <v>200</v>
      </c>
      <c r="D34" s="5" t="s">
        <v>147</v>
      </c>
      <c r="E34" s="5">
        <v>2024</v>
      </c>
      <c r="F34" s="5" t="s">
        <v>100</v>
      </c>
      <c r="G34" s="5" t="s">
        <v>154</v>
      </c>
      <c r="H34" s="5" t="str">
        <f t="shared" si="1"/>
        <v>Open Source</v>
      </c>
      <c r="I34" s="6" t="s">
        <v>25</v>
      </c>
    </row>
    <row r="35" spans="1:9">
      <c r="A35" s="5" t="s">
        <v>155</v>
      </c>
      <c r="B35" s="5" t="s">
        <v>156</v>
      </c>
      <c r="C35" s="9">
        <v>279.64</v>
      </c>
      <c r="D35" s="5" t="s">
        <v>157</v>
      </c>
      <c r="E35" s="5">
        <v>2024</v>
      </c>
      <c r="F35" s="5" t="s">
        <v>158</v>
      </c>
      <c r="G35" s="5" t="s">
        <v>27</v>
      </c>
      <c r="H35" s="5" t="str">
        <f>HYPERLINK("https://data.worldbank.org/country/iraq","Open Source")</f>
        <v>Open Source</v>
      </c>
      <c r="I35" s="6" t="s">
        <v>30</v>
      </c>
    </row>
    <row r="36" spans="1:9">
      <c r="A36" s="5" t="s">
        <v>159</v>
      </c>
      <c r="B36" s="5" t="s">
        <v>160</v>
      </c>
      <c r="C36" s="9">
        <v>6073.6</v>
      </c>
      <c r="D36" s="5" t="s">
        <v>161</v>
      </c>
      <c r="E36" s="5">
        <v>2024</v>
      </c>
      <c r="F36" s="5" t="s">
        <v>158</v>
      </c>
      <c r="G36" s="5" t="s">
        <v>27</v>
      </c>
      <c r="H36" s="5" t="str">
        <f>HYPERLINK("https://data.worldbank.org/country/iraq","Open Source")</f>
        <v>Open Source</v>
      </c>
      <c r="I36" s="6" t="s">
        <v>30</v>
      </c>
    </row>
    <row r="37" spans="1:9" ht="28.5">
      <c r="A37" s="5" t="s">
        <v>162</v>
      </c>
      <c r="B37" s="5" t="s">
        <v>163</v>
      </c>
      <c r="C37" s="8">
        <v>2.1000000000000001E-2</v>
      </c>
      <c r="D37" s="5" t="s">
        <v>73</v>
      </c>
      <c r="E37" s="5">
        <v>2024</v>
      </c>
      <c r="F37" s="5" t="s">
        <v>158</v>
      </c>
      <c r="G37" s="5" t="s">
        <v>27</v>
      </c>
      <c r="H37" s="5" t="str">
        <f>HYPERLINK("https://data.worldbank.org/indicator/SP.POP.GROW?locations=IQ","Open Source")</f>
        <v>Open Source</v>
      </c>
      <c r="I37" s="6" t="s">
        <v>164</v>
      </c>
    </row>
    <row r="38" spans="1:9">
      <c r="A38" s="3"/>
      <c r="B38" s="3"/>
      <c r="C38" s="3"/>
      <c r="D38" s="3"/>
      <c r="E38" s="3"/>
      <c r="F38" s="3"/>
      <c r="G38" s="3"/>
      <c r="H38" s="3"/>
    </row>
    <row r="39" spans="1:9">
      <c r="A39" s="3"/>
      <c r="B39" s="3"/>
      <c r="C39" s="3"/>
      <c r="D39" s="3"/>
      <c r="E39" s="3"/>
      <c r="F39" s="3"/>
      <c r="G39" s="3"/>
      <c r="H39" s="3"/>
    </row>
    <row r="40" spans="1:9">
      <c r="A40" s="3"/>
      <c r="B40" s="3"/>
      <c r="C40" s="3"/>
      <c r="D40" s="3"/>
      <c r="E40" s="3"/>
      <c r="F40" s="3"/>
      <c r="G40" s="3"/>
      <c r="H40" s="3"/>
    </row>
    <row r="41" spans="1:9">
      <c r="A41" s="3"/>
      <c r="B41" s="3"/>
      <c r="C41" s="3"/>
      <c r="D41" s="3"/>
      <c r="E41" s="3"/>
      <c r="F41" s="3"/>
      <c r="G41" s="3"/>
      <c r="H41" s="3"/>
    </row>
    <row r="42" spans="1:9">
      <c r="A42" s="3"/>
      <c r="B42" s="3"/>
      <c r="C42" s="3"/>
      <c r="D42" s="3"/>
      <c r="E42" s="3"/>
      <c r="F42" s="3"/>
      <c r="G42" s="3"/>
      <c r="H42" s="3"/>
    </row>
    <row r="43" spans="1:9">
      <c r="A43" s="3"/>
      <c r="B43" s="3"/>
      <c r="C43" s="3"/>
      <c r="D43" s="3"/>
      <c r="E43" s="3"/>
      <c r="F43" s="3"/>
      <c r="G43" s="3"/>
      <c r="H43" s="3"/>
    </row>
    <row r="44" spans="1:9">
      <c r="A44" s="3"/>
      <c r="B44" s="3"/>
      <c r="C44" s="3"/>
      <c r="D44" s="3"/>
      <c r="E44" s="3"/>
      <c r="F44" s="3"/>
      <c r="G44" s="3"/>
      <c r="H44" s="3"/>
    </row>
    <row r="45" spans="1:9">
      <c r="A45" s="3"/>
      <c r="B45" s="3"/>
      <c r="C45" s="3"/>
      <c r="D45" s="3"/>
      <c r="E45" s="3"/>
      <c r="F45" s="3"/>
      <c r="G45" s="3"/>
      <c r="H45" s="3"/>
    </row>
    <row r="46" spans="1:9">
      <c r="A46" s="3"/>
      <c r="B46" s="3"/>
      <c r="C46" s="3"/>
      <c r="D46" s="3"/>
      <c r="E46" s="3"/>
      <c r="F46" s="3"/>
      <c r="G46" s="3"/>
      <c r="H46" s="3"/>
    </row>
    <row r="47" spans="1:9">
      <c r="A47" s="3"/>
      <c r="B47" s="3"/>
      <c r="C47" s="3"/>
      <c r="D47" s="3"/>
      <c r="E47" s="3"/>
      <c r="F47" s="3"/>
      <c r="G47" s="3"/>
      <c r="H47" s="3"/>
    </row>
    <row r="48" spans="1:9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0"/>
  <sheetViews>
    <sheetView workbookViewId="0">
      <selection sqref="A1:XFD1048576"/>
    </sheetView>
  </sheetViews>
  <sheetFormatPr defaultColWidth="8.875" defaultRowHeight="14.25"/>
  <cols>
    <col min="1" max="1" width="14" style="4" customWidth="1"/>
    <col min="2" max="2" width="54" style="4" customWidth="1"/>
    <col min="3" max="7" width="14" style="4" customWidth="1"/>
    <col min="8" max="8" width="70" style="4" customWidth="1"/>
    <col min="9" max="16384" width="8.875" style="4"/>
  </cols>
  <sheetData>
    <row r="1" spans="1:8" ht="15">
      <c r="A1" s="1" t="s">
        <v>165</v>
      </c>
      <c r="B1" s="1" t="s">
        <v>166</v>
      </c>
      <c r="C1" s="1" t="s">
        <v>167</v>
      </c>
      <c r="D1" s="1" t="s">
        <v>168</v>
      </c>
      <c r="E1" s="1" t="s">
        <v>169</v>
      </c>
      <c r="F1" s="1" t="s">
        <v>170</v>
      </c>
      <c r="G1" s="1" t="s">
        <v>171</v>
      </c>
      <c r="H1" s="1" t="s">
        <v>172</v>
      </c>
    </row>
    <row r="2" spans="1:8" ht="42.75">
      <c r="A2" s="5" t="s">
        <v>173</v>
      </c>
      <c r="B2" s="5" t="s">
        <v>174</v>
      </c>
      <c r="C2" s="29">
        <v>0.5</v>
      </c>
      <c r="D2" s="29">
        <v>0.5</v>
      </c>
      <c r="E2" s="29">
        <v>0.5</v>
      </c>
      <c r="F2" s="29">
        <v>0.5</v>
      </c>
      <c r="G2" s="29">
        <v>0.5</v>
      </c>
      <c r="H2" s="30" t="s">
        <v>175</v>
      </c>
    </row>
    <row r="3" spans="1:8" ht="28.5">
      <c r="A3" s="5" t="s">
        <v>173</v>
      </c>
      <c r="B3" s="5" t="s">
        <v>176</v>
      </c>
      <c r="C3" s="29">
        <v>0.65</v>
      </c>
      <c r="D3" s="29">
        <v>0.65</v>
      </c>
      <c r="E3" s="29">
        <v>0.65</v>
      </c>
      <c r="F3" s="29">
        <v>0.65</v>
      </c>
      <c r="G3" s="29">
        <v>0.65</v>
      </c>
      <c r="H3" s="30" t="s">
        <v>177</v>
      </c>
    </row>
    <row r="4" spans="1:8" ht="28.5">
      <c r="A4" s="5" t="s">
        <v>173</v>
      </c>
      <c r="B4" s="5" t="s">
        <v>178</v>
      </c>
      <c r="C4" s="29">
        <v>0.8</v>
      </c>
      <c r="D4" s="29">
        <v>0.8</v>
      </c>
      <c r="E4" s="29">
        <v>0.8</v>
      </c>
      <c r="F4" s="29">
        <v>0.8</v>
      </c>
      <c r="G4" s="29">
        <v>0.8</v>
      </c>
      <c r="H4" s="30" t="s">
        <v>179</v>
      </c>
    </row>
    <row r="5" spans="1:8" ht="28.5">
      <c r="A5" s="5" t="s">
        <v>173</v>
      </c>
      <c r="B5" s="5" t="s">
        <v>180</v>
      </c>
      <c r="C5" s="29">
        <v>3.0000000000000001E-3</v>
      </c>
      <c r="D5" s="29">
        <v>6.0000000000000001E-3</v>
      </c>
      <c r="E5" s="29">
        <v>0.01</v>
      </c>
      <c r="F5" s="29">
        <v>1.4999999999999999E-2</v>
      </c>
      <c r="G5" s="29">
        <v>2.1999999999999999E-2</v>
      </c>
      <c r="H5" s="30" t="s">
        <v>181</v>
      </c>
    </row>
    <row r="6" spans="1:8" ht="42.75">
      <c r="A6" s="5" t="s">
        <v>173</v>
      </c>
      <c r="B6" s="5" t="s">
        <v>182</v>
      </c>
      <c r="C6" s="29">
        <v>6.0000000000000001E-3</v>
      </c>
      <c r="D6" s="29">
        <v>0.01</v>
      </c>
      <c r="E6" s="29">
        <v>1.6E-2</v>
      </c>
      <c r="F6" s="29">
        <v>2.5000000000000001E-2</v>
      </c>
      <c r="G6" s="29">
        <v>3.4000000000000002E-2</v>
      </c>
      <c r="H6" s="30" t="s">
        <v>183</v>
      </c>
    </row>
    <row r="7" spans="1:8" ht="28.5">
      <c r="A7" s="5" t="s">
        <v>173</v>
      </c>
      <c r="B7" s="5" t="s">
        <v>184</v>
      </c>
      <c r="C7" s="29">
        <v>0.01</v>
      </c>
      <c r="D7" s="29">
        <v>1.7999999999999999E-2</v>
      </c>
      <c r="E7" s="29">
        <v>0.03</v>
      </c>
      <c r="F7" s="29">
        <v>4.4999999999999998E-2</v>
      </c>
      <c r="G7" s="29">
        <v>0.06</v>
      </c>
      <c r="H7" s="30" t="s">
        <v>185</v>
      </c>
    </row>
    <row r="8" spans="1:8" ht="28.5">
      <c r="A8" s="5" t="s">
        <v>186</v>
      </c>
      <c r="B8" s="5" t="s">
        <v>187</v>
      </c>
      <c r="C8" s="31">
        <v>60000</v>
      </c>
      <c r="D8" s="31">
        <v>95000</v>
      </c>
      <c r="E8" s="31">
        <v>140000</v>
      </c>
      <c r="F8" s="31">
        <v>200000</v>
      </c>
      <c r="G8" s="31">
        <v>260000</v>
      </c>
      <c r="H8" s="30" t="s">
        <v>188</v>
      </c>
    </row>
    <row r="9" spans="1:8" ht="28.5">
      <c r="A9" s="5" t="s">
        <v>189</v>
      </c>
      <c r="B9" s="5" t="s">
        <v>190</v>
      </c>
      <c r="C9" s="31">
        <v>5240</v>
      </c>
      <c r="D9" s="31">
        <v>5397</v>
      </c>
      <c r="E9" s="31">
        <v>5559</v>
      </c>
      <c r="F9" s="31">
        <v>5726</v>
      </c>
      <c r="G9" s="31">
        <v>5898</v>
      </c>
      <c r="H9" s="30" t="s">
        <v>191</v>
      </c>
    </row>
    <row r="10" spans="1:8" ht="28.5">
      <c r="A10" s="5" t="s">
        <v>192</v>
      </c>
      <c r="B10" s="5" t="s">
        <v>193</v>
      </c>
      <c r="C10" s="31">
        <v>800000</v>
      </c>
      <c r="D10" s="31">
        <v>900000</v>
      </c>
      <c r="E10" s="31">
        <v>1000000</v>
      </c>
      <c r="F10" s="31">
        <v>1100000</v>
      </c>
      <c r="G10" s="31">
        <v>1200000</v>
      </c>
      <c r="H10" s="30" t="s">
        <v>194</v>
      </c>
    </row>
    <row r="11" spans="1:8" ht="42.75">
      <c r="A11" s="5" t="s">
        <v>195</v>
      </c>
      <c r="B11" s="5" t="s">
        <v>196</v>
      </c>
      <c r="C11" s="29">
        <v>1</v>
      </c>
      <c r="D11" s="29">
        <v>1</v>
      </c>
      <c r="E11" s="29">
        <v>1</v>
      </c>
      <c r="F11" s="29">
        <v>1</v>
      </c>
      <c r="G11" s="29">
        <v>1</v>
      </c>
      <c r="H11" s="30" t="s">
        <v>197</v>
      </c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0"/>
  <sheetViews>
    <sheetView workbookViewId="0">
      <selection sqref="A1:XFD1048576"/>
    </sheetView>
  </sheetViews>
  <sheetFormatPr defaultColWidth="8.875" defaultRowHeight="14.25"/>
  <cols>
    <col min="1" max="1" width="60" style="4" customWidth="1"/>
    <col min="2" max="6" width="16" style="4" customWidth="1"/>
    <col min="7" max="16384" width="8.875" style="4"/>
  </cols>
  <sheetData>
    <row r="1" spans="1:8" ht="15">
      <c r="A1" s="32" t="s">
        <v>198</v>
      </c>
      <c r="B1" s="33"/>
      <c r="C1" s="33"/>
      <c r="D1" s="33"/>
      <c r="E1" s="33"/>
      <c r="F1" s="3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 ht="15">
      <c r="A3" s="1" t="s">
        <v>60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3"/>
      <c r="H3" s="3"/>
    </row>
    <row r="4" spans="1:8">
      <c r="A4" s="5" t="s">
        <v>199</v>
      </c>
      <c r="B4" s="21">
        <f>Inputs!$C$2*(1+Inputs!$C$37)^2</f>
        <v>48076120.693712987</v>
      </c>
      <c r="C4" s="21">
        <f>Inputs!$C$2*(1+Inputs!$C$37)^3</f>
        <v>49085719.228280954</v>
      </c>
      <c r="D4" s="21">
        <f>Inputs!$C$2*(1+Inputs!$C$37)^4</f>
        <v>50116519.332074851</v>
      </c>
      <c r="E4" s="21">
        <f>Inputs!$C$2*(1+Inputs!$C$37)^5</f>
        <v>51168966.238048412</v>
      </c>
      <c r="F4" s="21">
        <f>Inputs!$C$2*(1+Inputs!$C$37)^6</f>
        <v>52243514.52904743</v>
      </c>
      <c r="G4" s="3"/>
      <c r="H4" s="3"/>
    </row>
    <row r="5" spans="1:8">
      <c r="A5" s="5" t="s">
        <v>200</v>
      </c>
      <c r="B5" s="23">
        <f>Inputs!$C$3+Inputs!$C$4</f>
        <v>0.64100000000000001</v>
      </c>
      <c r="C5" s="23">
        <f>Inputs!$C$3+Inputs!$C$4</f>
        <v>0.64100000000000001</v>
      </c>
      <c r="D5" s="23">
        <f>Inputs!$C$3+Inputs!$C$4</f>
        <v>0.64100000000000001</v>
      </c>
      <c r="E5" s="23">
        <f>Inputs!$C$3+Inputs!$C$4</f>
        <v>0.64100000000000001</v>
      </c>
      <c r="F5" s="23">
        <f>Inputs!$C$3+Inputs!$C$4</f>
        <v>0.64100000000000001</v>
      </c>
      <c r="G5" s="3"/>
      <c r="H5" s="3"/>
    </row>
    <row r="6" spans="1:8">
      <c r="A6" s="5" t="s">
        <v>201</v>
      </c>
      <c r="B6" s="21">
        <f>B4*B5</f>
        <v>30816793.364670027</v>
      </c>
      <c r="C6" s="21">
        <f>C4*C5</f>
        <v>31463946.025328092</v>
      </c>
      <c r="D6" s="21">
        <f>D4*D5</f>
        <v>32124688.891859978</v>
      </c>
      <c r="E6" s="21">
        <f>E4*E5</f>
        <v>32799307.358589035</v>
      </c>
      <c r="F6" s="21">
        <f>F4*F5</f>
        <v>33488092.813119404</v>
      </c>
      <c r="G6" s="3"/>
      <c r="H6" s="3"/>
    </row>
    <row r="7" spans="1:8">
      <c r="A7" s="5" t="s">
        <v>202</v>
      </c>
      <c r="B7" s="21">
        <f>B6*Inputs!$C$7</f>
        <v>25115686.592206072</v>
      </c>
      <c r="C7" s="21">
        <f>C6*Inputs!$C$7</f>
        <v>25643116.010642394</v>
      </c>
      <c r="D7" s="21">
        <f>D6*Inputs!$C$7</f>
        <v>26181621.446865879</v>
      </c>
      <c r="E7" s="21">
        <f>E6*Inputs!$C$7</f>
        <v>26731435.497250061</v>
      </c>
      <c r="F7" s="21">
        <f>F6*Inputs!$C$7</f>
        <v>27292795.642692313</v>
      </c>
      <c r="G7" s="3"/>
      <c r="H7" s="3"/>
    </row>
    <row r="8" spans="1:8">
      <c r="A8" s="5" t="s">
        <v>203</v>
      </c>
      <c r="B8" s="21">
        <f>B6*IF(Assumptions!C$11&gt;=0.5,Inputs!$C$9,Inputs!$C$10)</f>
        <v>3389847.2701137029</v>
      </c>
      <c r="C8" s="21">
        <f>C6*IF(Assumptions!D$11&gt;=0.5,Inputs!$C$9,Inputs!$C$10)</f>
        <v>3461034.0627860902</v>
      </c>
      <c r="D8" s="21">
        <f>D6*IF(Assumptions!E$11&gt;=0.5,Inputs!$C$9,Inputs!$C$10)</f>
        <v>3533715.7781045977</v>
      </c>
      <c r="E8" s="21">
        <f>E6*IF(Assumptions!F$11&gt;=0.5,Inputs!$C$9,Inputs!$C$10)</f>
        <v>3607923.809444794</v>
      </c>
      <c r="F8" s="21">
        <f>F6*IF(Assumptions!G$11&gt;=0.5,Inputs!$C$9,Inputs!$C$10)</f>
        <v>3683690.2094431343</v>
      </c>
      <c r="G8" s="3"/>
      <c r="H8" s="3"/>
    </row>
    <row r="9" spans="1:8">
      <c r="A9" s="5" t="s">
        <v>204</v>
      </c>
      <c r="B9" s="21">
        <f>B6*Inputs!$C$11</f>
        <v>15408396.682335014</v>
      </c>
      <c r="C9" s="21">
        <f>C6*Inputs!$C$11</f>
        <v>15731973.012664046</v>
      </c>
      <c r="D9" s="21">
        <f>D6*Inputs!$C$11</f>
        <v>16062344.445929989</v>
      </c>
      <c r="E9" s="21">
        <f>E6*Inputs!$C$11</f>
        <v>16399653.679294517</v>
      </c>
      <c r="F9" s="21">
        <f>F6*Inputs!$C$11</f>
        <v>16744046.406559702</v>
      </c>
      <c r="G9" s="3"/>
      <c r="H9" s="3"/>
    </row>
    <row r="10" spans="1:8">
      <c r="A10" s="5" t="s">
        <v>205</v>
      </c>
      <c r="B10" s="21">
        <f>MAX(B9-B8,0)</f>
        <v>12018549.412221311</v>
      </c>
      <c r="C10" s="21">
        <f>MAX(C9-C8,0)</f>
        <v>12270938.949877955</v>
      </c>
      <c r="D10" s="21">
        <f>MAX(D9-D8,0)</f>
        <v>12528628.667825392</v>
      </c>
      <c r="E10" s="21">
        <f>MAX(E9-E8,0)</f>
        <v>12791729.869849723</v>
      </c>
      <c r="F10" s="21">
        <f>MAX(F9-F8,0)</f>
        <v>13060356.197116569</v>
      </c>
      <c r="G10" s="3"/>
      <c r="H10" s="3"/>
    </row>
    <row r="11" spans="1:8">
      <c r="A11" s="5" t="s">
        <v>206</v>
      </c>
      <c r="B11" s="21">
        <f>B6</f>
        <v>30816793.364670027</v>
      </c>
      <c r="C11" s="21">
        <f>C6</f>
        <v>31463946.025328092</v>
      </c>
      <c r="D11" s="21">
        <f>D6</f>
        <v>32124688.891859978</v>
      </c>
      <c r="E11" s="21">
        <f>E6</f>
        <v>32799307.358589035</v>
      </c>
      <c r="F11" s="21">
        <f>F6</f>
        <v>33488092.813119404</v>
      </c>
      <c r="G11" s="3"/>
      <c r="H11" s="3"/>
    </row>
    <row r="12" spans="1:8">
      <c r="A12" s="5" t="s">
        <v>207</v>
      </c>
      <c r="B12" s="21">
        <f>B10*Inputs!$C$7*Assumptions!C$3</f>
        <v>6366826.5511242393</v>
      </c>
      <c r="C12" s="21">
        <f>C10*Inputs!$C$7*Assumptions!D$3</f>
        <v>6500529.9086978463</v>
      </c>
      <c r="D12" s="21">
        <f>D10*Inputs!$C$7*Assumptions!E$3</f>
        <v>6637041.0367805008</v>
      </c>
      <c r="E12" s="21">
        <f>E10*Inputs!$C$7*Assumptions!F$3</f>
        <v>6776418.8985528899</v>
      </c>
      <c r="F12" s="21">
        <f>F10*Inputs!$C$7*Assumptions!G$3</f>
        <v>6918723.6954225022</v>
      </c>
      <c r="G12" s="3"/>
      <c r="H12" s="3"/>
    </row>
    <row r="13" spans="1:8">
      <c r="A13" s="5" t="s">
        <v>208</v>
      </c>
      <c r="B13" s="21">
        <f>Assumptions!C$8</f>
        <v>60000</v>
      </c>
      <c r="C13" s="21">
        <f>Assumptions!D$8</f>
        <v>95000</v>
      </c>
      <c r="D13" s="21">
        <f>Assumptions!E$8</f>
        <v>140000</v>
      </c>
      <c r="E13" s="21">
        <f>Assumptions!F$8</f>
        <v>200000</v>
      </c>
      <c r="F13" s="21">
        <f>Assumptions!G$8</f>
        <v>260000</v>
      </c>
      <c r="G13" s="3"/>
      <c r="H13" s="3"/>
    </row>
    <row r="14" spans="1:8">
      <c r="A14" s="5" t="s">
        <v>209</v>
      </c>
      <c r="B14" s="23">
        <f>IFERROR(B13/B12,0)</f>
        <v>9.423847110992107E-3</v>
      </c>
      <c r="C14" s="23">
        <f>IFERROR(C13/C12,0)</f>
        <v>1.4614193201832361E-2</v>
      </c>
      <c r="D14" s="23">
        <f>IFERROR(D13/D12,0)</f>
        <v>2.1093737288071866E-2</v>
      </c>
      <c r="E14" s="23">
        <f>IFERROR(E13/E12,0)</f>
        <v>2.9514114017170658E-2</v>
      </c>
      <c r="F14" s="23">
        <f>IFERROR(F13/F12,0)</f>
        <v>3.7579185330383784E-2</v>
      </c>
      <c r="G14" s="3"/>
      <c r="H14" s="3"/>
    </row>
    <row r="15" spans="1:8">
      <c r="A15" s="5" t="s">
        <v>210</v>
      </c>
      <c r="B15" s="21">
        <f>Assumptions!C$9</f>
        <v>5240</v>
      </c>
      <c r="C15" s="21">
        <f>Assumptions!D$9</f>
        <v>5397</v>
      </c>
      <c r="D15" s="21">
        <f>Assumptions!E$9</f>
        <v>5559</v>
      </c>
      <c r="E15" s="21">
        <f>Assumptions!F$9</f>
        <v>5726</v>
      </c>
      <c r="F15" s="21">
        <f>Assumptions!G$9</f>
        <v>5898</v>
      </c>
      <c r="G15" s="3"/>
      <c r="H15" s="3"/>
    </row>
    <row r="16" spans="1:8">
      <c r="A16" s="5" t="s">
        <v>211</v>
      </c>
      <c r="B16" s="26">
        <f>B11*B15*12/1000000000</f>
        <v>1937.7599667704512</v>
      </c>
      <c r="C16" s="26">
        <f>C11*C15*12/1000000000</f>
        <v>2037.7310003843486</v>
      </c>
      <c r="D16" s="26">
        <f>D11*D15*12/1000000000</f>
        <v>2142.9737465981952</v>
      </c>
      <c r="E16" s="26">
        <f>E11*E15*12/1000000000</f>
        <v>2253.7060072233703</v>
      </c>
      <c r="F16" s="26">
        <f>F11*F15*12/1000000000</f>
        <v>2370.1532569413389</v>
      </c>
      <c r="G16" s="3"/>
      <c r="H16" s="3"/>
    </row>
    <row r="17" spans="1:8">
      <c r="A17" s="5" t="s">
        <v>212</v>
      </c>
      <c r="B17" s="26">
        <f>B12*B15*12/1000000000</f>
        <v>400.34605353469215</v>
      </c>
      <c r="C17" s="26">
        <f>C12*C15*12/1000000000</f>
        <v>421.00031900690738</v>
      </c>
      <c r="D17" s="26">
        <f>D12*D15*12/1000000000</f>
        <v>442.7437334815537</v>
      </c>
      <c r="E17" s="26">
        <f>E12*E15*12/1000000000</f>
        <v>465.62129535736614</v>
      </c>
      <c r="F17" s="26">
        <f>F12*F15*12/1000000000</f>
        <v>489.67958826722304</v>
      </c>
      <c r="G17" s="3"/>
      <c r="H17" s="3"/>
    </row>
    <row r="18" spans="1:8">
      <c r="A18" s="5" t="s">
        <v>213</v>
      </c>
      <c r="B18" s="26">
        <f>B13*B15*12/1000000000</f>
        <v>3.7728000000000002</v>
      </c>
      <c r="C18" s="26">
        <f>C13*C15*12/1000000000</f>
        <v>6.1525800000000004</v>
      </c>
      <c r="D18" s="26">
        <f>D13*D15*12/1000000000</f>
        <v>9.3391199999999994</v>
      </c>
      <c r="E18" s="26">
        <f>E13*E15*12/1000000000</f>
        <v>13.7424</v>
      </c>
      <c r="F18" s="26">
        <f>F13*F15*12/1000000000</f>
        <v>18.401759999999999</v>
      </c>
      <c r="G18" s="3"/>
      <c r="H18" s="3"/>
    </row>
    <row r="19" spans="1:8">
      <c r="A19" s="5" t="s">
        <v>214</v>
      </c>
      <c r="B19" s="26">
        <f>B13*Assumptions!C$10/1000000000</f>
        <v>48</v>
      </c>
      <c r="C19" s="26">
        <f>C13*Assumptions!D$10/1000000000</f>
        <v>85.5</v>
      </c>
      <c r="D19" s="26">
        <f>D13*Assumptions!E$10/1000000000</f>
        <v>140</v>
      </c>
      <c r="E19" s="26">
        <f>E13*Assumptions!F$10/1000000000</f>
        <v>220</v>
      </c>
      <c r="F19" s="26">
        <f>F13*Assumptions!G$10/1000000000</f>
        <v>312</v>
      </c>
      <c r="G19" s="3"/>
      <c r="H19" s="3"/>
    </row>
    <row r="20" spans="1:8">
      <c r="A20" s="5" t="s">
        <v>215</v>
      </c>
      <c r="B20" s="21">
        <f>B12*Assumptions!C$5</f>
        <v>19100.479653372717</v>
      </c>
      <c r="C20" s="21">
        <f>C12*Assumptions!D$5</f>
        <v>39003.179452187076</v>
      </c>
      <c r="D20" s="21">
        <f>D12*Assumptions!E$5</f>
        <v>66370.410367805016</v>
      </c>
      <c r="E20" s="21">
        <f>E12*Assumptions!F$5</f>
        <v>101646.28347829335</v>
      </c>
      <c r="F20" s="21">
        <f>F12*Assumptions!G$5</f>
        <v>152211.92129929503</v>
      </c>
      <c r="G20" s="3"/>
      <c r="H20" s="3"/>
    </row>
    <row r="21" spans="1:8">
      <c r="A21" s="5" t="s">
        <v>216</v>
      </c>
      <c r="B21" s="21">
        <f>B12*Assumptions!C$6</f>
        <v>38200.959306745433</v>
      </c>
      <c r="C21" s="21">
        <f>C12*Assumptions!D$6</f>
        <v>65005.299086978463</v>
      </c>
      <c r="D21" s="21">
        <f>D12*Assumptions!E$6</f>
        <v>106192.65658848801</v>
      </c>
      <c r="E21" s="21">
        <f>E12*Assumptions!F$6</f>
        <v>169410.47246382225</v>
      </c>
      <c r="F21" s="21">
        <f>F12*Assumptions!G$6</f>
        <v>235236.6056443651</v>
      </c>
      <c r="G21" s="3"/>
      <c r="H21" s="3"/>
    </row>
    <row r="22" spans="1:8">
      <c r="A22" s="5" t="s">
        <v>217</v>
      </c>
      <c r="B22" s="21">
        <f>B12*Assumptions!C$7</f>
        <v>63668.265511242396</v>
      </c>
      <c r="C22" s="21">
        <f>C12*Assumptions!D$7</f>
        <v>117009.53835656123</v>
      </c>
      <c r="D22" s="21">
        <f>D12*Assumptions!E$7</f>
        <v>199111.23110341502</v>
      </c>
      <c r="E22" s="21">
        <f>E12*Assumptions!F$7</f>
        <v>304938.85043488006</v>
      </c>
      <c r="F22" s="21">
        <f>F12*Assumptions!G$7</f>
        <v>415123.42172535014</v>
      </c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0"/>
  <sheetViews>
    <sheetView workbookViewId="0">
      <selection sqref="A1:XFD1048576"/>
    </sheetView>
  </sheetViews>
  <sheetFormatPr defaultColWidth="8.875" defaultRowHeight="14.25"/>
  <cols>
    <col min="1" max="1" width="42" style="4" customWidth="1"/>
    <col min="2" max="2" width="65" style="4" customWidth="1"/>
    <col min="3" max="7" width="15" style="4" customWidth="1"/>
    <col min="8" max="16384" width="8.875" style="4"/>
  </cols>
  <sheetData>
    <row r="1" spans="1:8" ht="15">
      <c r="A1" s="32" t="s">
        <v>218</v>
      </c>
      <c r="B1" s="33"/>
      <c r="C1" s="33"/>
      <c r="D1" s="33"/>
      <c r="E1" s="33"/>
      <c r="F1" s="33"/>
      <c r="G1" s="3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 ht="15">
      <c r="A3" s="1" t="s">
        <v>219</v>
      </c>
      <c r="B3" s="1" t="s">
        <v>220</v>
      </c>
      <c r="C3" s="1" t="s">
        <v>167</v>
      </c>
      <c r="D3" s="1" t="s">
        <v>168</v>
      </c>
      <c r="E3" s="1" t="s">
        <v>169</v>
      </c>
      <c r="F3" s="1" t="s">
        <v>170</v>
      </c>
      <c r="G3" s="1" t="s">
        <v>171</v>
      </c>
      <c r="H3" s="3"/>
    </row>
    <row r="4" spans="1:8">
      <c r="A4" s="5" t="s">
        <v>221</v>
      </c>
      <c r="B4" s="5" t="s">
        <v>222</v>
      </c>
      <c r="C4" s="24">
        <f>Market_Model!B6*(1-Inputs!$C$9)</f>
        <v>27426946.094556324</v>
      </c>
      <c r="D4" s="24">
        <f>Market_Model!C6*(1-Inputs!$C$9)</f>
        <v>28002911.962542001</v>
      </c>
      <c r="E4" s="24">
        <f>Market_Model!D6*(1-Inputs!$C$9)</f>
        <v>28590973.113755383</v>
      </c>
      <c r="F4" s="24">
        <f>Market_Model!E6*(1-Inputs!$C$9)</f>
        <v>29191383.549144242</v>
      </c>
      <c r="G4" s="24">
        <f>Market_Model!F6*(1-Inputs!$C$9)</f>
        <v>29804402.603676271</v>
      </c>
      <c r="H4" s="3"/>
    </row>
    <row r="5" spans="1:8">
      <c r="A5" s="5" t="s">
        <v>223</v>
      </c>
      <c r="B5" s="5" t="s">
        <v>224</v>
      </c>
      <c r="C5" s="24">
        <f>Market_Model!B6*(Inputs!$C$11-Inputs!$C$9)</f>
        <v>12018549.412221311</v>
      </c>
      <c r="D5" s="24">
        <f>Market_Model!C6*(Inputs!$C$11-Inputs!$C$9)</f>
        <v>12270938.949877957</v>
      </c>
      <c r="E5" s="24">
        <f>Market_Model!D6*(Inputs!$C$11-Inputs!$C$9)</f>
        <v>12528628.667825392</v>
      </c>
      <c r="F5" s="24">
        <f>Market_Model!E6*(Inputs!$C$11-Inputs!$C$9)</f>
        <v>12791729.869849725</v>
      </c>
      <c r="G5" s="24">
        <f>Market_Model!F6*(Inputs!$C$11-Inputs!$C$9)</f>
        <v>13060356.197116569</v>
      </c>
      <c r="H5" s="3"/>
    </row>
    <row r="6" spans="1:8">
      <c r="A6" s="5" t="s">
        <v>225</v>
      </c>
      <c r="B6" s="5" t="s">
        <v>226</v>
      </c>
      <c r="C6" s="24">
        <f>C5*Inputs!$C$7</f>
        <v>9795117.7709603682</v>
      </c>
      <c r="D6" s="24">
        <f>D5*Inputs!$C$7</f>
        <v>10000815.244150534</v>
      </c>
      <c r="E6" s="24">
        <f>E5*Inputs!$C$7</f>
        <v>10210832.364277693</v>
      </c>
      <c r="F6" s="24">
        <f>F5*Inputs!$C$7</f>
        <v>10425259.843927525</v>
      </c>
      <c r="G6" s="24">
        <f>G5*Inputs!$C$7</f>
        <v>10644190.300650002</v>
      </c>
      <c r="H6" s="3"/>
    </row>
    <row r="7" spans="1:8">
      <c r="A7" s="5" t="s">
        <v>227</v>
      </c>
      <c r="B7" s="5" t="s">
        <v>228</v>
      </c>
      <c r="C7" s="24">
        <f>C6*Assumptions!C$3</f>
        <v>6366826.5511242393</v>
      </c>
      <c r="D7" s="24">
        <f>D6*Assumptions!D$3</f>
        <v>6500529.9086978473</v>
      </c>
      <c r="E7" s="24">
        <f>E6*Assumptions!E$3</f>
        <v>6637041.0367805008</v>
      </c>
      <c r="F7" s="24">
        <f>F6*Assumptions!F$3</f>
        <v>6776418.8985528918</v>
      </c>
      <c r="G7" s="24">
        <f>G6*Assumptions!G$3</f>
        <v>6918723.6954225022</v>
      </c>
      <c r="H7" s="3"/>
    </row>
    <row r="8" spans="1:8">
      <c r="A8" s="5" t="s">
        <v>229</v>
      </c>
      <c r="B8" s="5" t="s">
        <v>230</v>
      </c>
      <c r="C8" s="24">
        <f>Market_Model!B6*(Inputs!$C$12-Inputs!$C$14)</f>
        <v>17873740.151508614</v>
      </c>
      <c r="D8" s="24">
        <f>Market_Model!C6*(Inputs!$C$12-Inputs!$C$14)</f>
        <v>18249088.694690291</v>
      </c>
      <c r="E8" s="24">
        <f>Market_Model!D6*(Inputs!$C$12-Inputs!$C$14)</f>
        <v>18632319.557278786</v>
      </c>
      <c r="F8" s="24">
        <f>Market_Model!E6*(Inputs!$C$12-Inputs!$C$14)</f>
        <v>19023598.267981637</v>
      </c>
      <c r="G8" s="24">
        <f>Market_Model!F6*(Inputs!$C$12-Inputs!$C$14)</f>
        <v>19423093.831609253</v>
      </c>
      <c r="H8" s="3"/>
    </row>
    <row r="9" spans="1:8" ht="28.5">
      <c r="A9" s="5" t="s">
        <v>231</v>
      </c>
      <c r="B9" s="5" t="s">
        <v>232</v>
      </c>
      <c r="C9" s="24">
        <f>Market_Model!B4*Inputs!$C$16*Inputs!$C$17</f>
        <v>14903597.415051026</v>
      </c>
      <c r="D9" s="24">
        <f>Market_Model!C4*Inputs!$C$16*Inputs!$C$17</f>
        <v>15216572.960767096</v>
      </c>
      <c r="E9" s="24">
        <f>Market_Model!D4*Inputs!$C$16*Inputs!$C$17</f>
        <v>15536120.992943203</v>
      </c>
      <c r="F9" s="24">
        <f>Market_Model!E4*Inputs!$C$16*Inputs!$C$17</f>
        <v>15862379.533795008</v>
      </c>
      <c r="G9" s="24">
        <f>Market_Model!F4*Inputs!$C$16*Inputs!$C$17</f>
        <v>16195489.504004704</v>
      </c>
      <c r="H9" s="3"/>
    </row>
    <row r="10" spans="1:8" ht="28.5">
      <c r="A10" s="5" t="s">
        <v>233</v>
      </c>
      <c r="B10" s="5" t="s">
        <v>234</v>
      </c>
      <c r="C10" s="24">
        <f>Market_Model!B6*(Inputs!$C$18-Inputs!$C$19)</f>
        <v>4930686.9383472046</v>
      </c>
      <c r="D10" s="24">
        <f>Market_Model!C6*(Inputs!$C$18-Inputs!$C$19)</f>
        <v>5034231.364052495</v>
      </c>
      <c r="E10" s="24">
        <f>Market_Model!D6*(Inputs!$C$18-Inputs!$C$19)</f>
        <v>5139950.222697597</v>
      </c>
      <c r="F10" s="24">
        <f>Market_Model!E6*(Inputs!$C$18-Inputs!$C$19)</f>
        <v>5247889.1773742456</v>
      </c>
      <c r="G10" s="24">
        <f>Market_Model!F6*(Inputs!$C$18-Inputs!$C$19)</f>
        <v>5358094.8500991045</v>
      </c>
      <c r="H10" s="3"/>
    </row>
    <row r="11" spans="1:8">
      <c r="A11" s="5" t="s">
        <v>235</v>
      </c>
      <c r="B11" s="5" t="s">
        <v>236</v>
      </c>
      <c r="C11" s="24">
        <f>Market_Model!B6*Inputs!$C$20*(1-Inputs!$C$21)</f>
        <v>4388311.3751290124</v>
      </c>
      <c r="D11" s="24">
        <f>Market_Model!C6*Inputs!$C$20*(1-Inputs!$C$21)</f>
        <v>4480465.9140067203</v>
      </c>
      <c r="E11" s="24">
        <f>Market_Model!D6*Inputs!$C$20*(1-Inputs!$C$21)</f>
        <v>4574555.698200861</v>
      </c>
      <c r="F11" s="24">
        <f>Market_Model!E6*Inputs!$C$20*(1-Inputs!$C$21)</f>
        <v>4670621.3678630786</v>
      </c>
      <c r="G11" s="24">
        <f>Market_Model!F6*Inputs!$C$20*(1-Inputs!$C$21)</f>
        <v>4768704.4165882031</v>
      </c>
      <c r="H11" s="3"/>
    </row>
    <row r="12" spans="1:8">
      <c r="A12" s="5" t="s">
        <v>237</v>
      </c>
      <c r="B12" s="5" t="s">
        <v>238</v>
      </c>
      <c r="C12" s="24">
        <f>AVERAGE(Inputs!$C$22,Inputs!$C$23)*Inputs!$C$27</f>
        <v>517225</v>
      </c>
      <c r="D12" s="24">
        <f>AVERAGE(Inputs!$C$22,Inputs!$C$23)*Inputs!$C$27</f>
        <v>517225</v>
      </c>
      <c r="E12" s="24">
        <f>AVERAGE(Inputs!$C$22,Inputs!$C$23)*Inputs!$C$27</f>
        <v>517225</v>
      </c>
      <c r="F12" s="24">
        <f>AVERAGE(Inputs!$C$22,Inputs!$C$23)*Inputs!$C$27</f>
        <v>517225</v>
      </c>
      <c r="G12" s="24">
        <f>AVERAGE(Inputs!$C$22,Inputs!$C$23)*Inputs!$C$27</f>
        <v>517225</v>
      </c>
      <c r="H12" s="3"/>
    </row>
    <row r="13" spans="1:8" ht="28.5">
      <c r="A13" s="5" t="s">
        <v>239</v>
      </c>
      <c r="B13" s="5" t="s">
        <v>240</v>
      </c>
      <c r="C13" s="24">
        <f>AVERAGE(Inputs!$C$22,Inputs!$C$23)*(1-Inputs!$C$26)</f>
        <v>596330</v>
      </c>
      <c r="D13" s="24">
        <f>AVERAGE(Inputs!$C$22,Inputs!$C$23)*(1-Inputs!$C$26)</f>
        <v>596330</v>
      </c>
      <c r="E13" s="24">
        <f>AVERAGE(Inputs!$C$22,Inputs!$C$23)*(1-Inputs!$C$26)</f>
        <v>596330</v>
      </c>
      <c r="F13" s="24">
        <f>AVERAGE(Inputs!$C$22,Inputs!$C$23)*(1-Inputs!$C$26)</f>
        <v>596330</v>
      </c>
      <c r="G13" s="24">
        <f>AVERAGE(Inputs!$C$22,Inputs!$C$23)*(1-Inputs!$C$26)</f>
        <v>596330</v>
      </c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mergeCells count="1">
    <mergeCell ref="A1:G1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0"/>
  <sheetViews>
    <sheetView workbookViewId="0">
      <selection sqref="A1:XFD1048576"/>
    </sheetView>
  </sheetViews>
  <sheetFormatPr defaultColWidth="8.875" defaultRowHeight="14.25"/>
  <cols>
    <col min="1" max="1" width="34" style="4" customWidth="1"/>
    <col min="2" max="2" width="22" style="4" customWidth="1"/>
    <col min="3" max="3" width="18" style="4" customWidth="1"/>
    <col min="4" max="8" width="14" style="4" customWidth="1"/>
    <col min="9" max="16384" width="8.875" style="4"/>
  </cols>
  <sheetData>
    <row r="1" spans="1:8" ht="15">
      <c r="A1" s="32" t="s">
        <v>241</v>
      </c>
      <c r="B1" s="33"/>
      <c r="C1" s="33"/>
      <c r="D1" s="33"/>
      <c r="E1" s="33"/>
      <c r="F1" s="33"/>
      <c r="G1" s="33"/>
      <c r="H1" s="33"/>
    </row>
    <row r="2" spans="1:8">
      <c r="A2" s="3"/>
      <c r="B2" s="3"/>
      <c r="C2" s="3"/>
      <c r="D2" s="3"/>
      <c r="E2" s="3"/>
      <c r="F2" s="3"/>
      <c r="G2" s="3"/>
      <c r="H2" s="3"/>
    </row>
    <row r="3" spans="1:8" ht="30">
      <c r="A3" s="1" t="s">
        <v>242</v>
      </c>
      <c r="B3" s="1" t="s">
        <v>171</v>
      </c>
      <c r="C3" s="1" t="s">
        <v>63</v>
      </c>
      <c r="D3" s="1" t="s">
        <v>243</v>
      </c>
      <c r="E3" s="1" t="s">
        <v>244</v>
      </c>
      <c r="F3" s="1" t="s">
        <v>245</v>
      </c>
      <c r="G3" s="1" t="s">
        <v>246</v>
      </c>
      <c r="H3" s="1"/>
    </row>
    <row r="4" spans="1:8">
      <c r="A4" s="5" t="s">
        <v>247</v>
      </c>
      <c r="B4" s="21">
        <f>Market_Model!F11</f>
        <v>33488092.813119404</v>
      </c>
      <c r="C4" s="22">
        <v>2026</v>
      </c>
      <c r="D4" s="21">
        <f>Market_Model!B11</f>
        <v>30816793.364670027</v>
      </c>
      <c r="E4" s="21">
        <f>Market_Model!B12</f>
        <v>6366826.5511242393</v>
      </c>
      <c r="F4" s="21">
        <f>Market_Model!B13</f>
        <v>60000</v>
      </c>
      <c r="G4" s="23">
        <f>Market_Model!B14</f>
        <v>9.423847110992107E-3</v>
      </c>
      <c r="H4" s="24"/>
    </row>
    <row r="5" spans="1:8">
      <c r="A5" s="5" t="s">
        <v>248</v>
      </c>
      <c r="B5" s="21">
        <f>Market_Model!F12</f>
        <v>6918723.6954225022</v>
      </c>
      <c r="C5" s="22">
        <v>2027</v>
      </c>
      <c r="D5" s="21">
        <f>Market_Model!C11</f>
        <v>31463946.025328092</v>
      </c>
      <c r="E5" s="21">
        <f>Market_Model!C12</f>
        <v>6500529.9086978463</v>
      </c>
      <c r="F5" s="21">
        <f>Market_Model!C13</f>
        <v>95000</v>
      </c>
      <c r="G5" s="23">
        <f>Market_Model!C14</f>
        <v>1.4614193201832361E-2</v>
      </c>
      <c r="H5" s="24"/>
    </row>
    <row r="6" spans="1:8">
      <c r="A6" s="5" t="s">
        <v>249</v>
      </c>
      <c r="B6" s="21">
        <f>Market_Model!F13</f>
        <v>260000</v>
      </c>
      <c r="C6" s="22">
        <v>2028</v>
      </c>
      <c r="D6" s="21">
        <f>Market_Model!D11</f>
        <v>32124688.891859978</v>
      </c>
      <c r="E6" s="21">
        <f>Market_Model!D12</f>
        <v>6637041.0367805008</v>
      </c>
      <c r="F6" s="21">
        <f>Market_Model!D13</f>
        <v>140000</v>
      </c>
      <c r="G6" s="23">
        <f>Market_Model!D14</f>
        <v>2.1093737288071866E-2</v>
      </c>
      <c r="H6" s="24"/>
    </row>
    <row r="7" spans="1:8">
      <c r="A7" s="5" t="s">
        <v>209</v>
      </c>
      <c r="B7" s="23">
        <f>Market_Model!F14</f>
        <v>3.7579185330383784E-2</v>
      </c>
      <c r="C7" s="22">
        <v>2029</v>
      </c>
      <c r="D7" s="21">
        <f>Market_Model!E11</f>
        <v>32799307.358589035</v>
      </c>
      <c r="E7" s="21">
        <f>Market_Model!E12</f>
        <v>6776418.8985528899</v>
      </c>
      <c r="F7" s="21">
        <f>Market_Model!E13</f>
        <v>200000</v>
      </c>
      <c r="G7" s="23">
        <f>Market_Model!E14</f>
        <v>2.9514114017170658E-2</v>
      </c>
      <c r="H7" s="25"/>
    </row>
    <row r="8" spans="1:8" ht="28.5">
      <c r="A8" s="5" t="s">
        <v>250</v>
      </c>
      <c r="B8" s="26">
        <f>Market_Model!F18</f>
        <v>18.401759999999999</v>
      </c>
      <c r="C8" s="22">
        <v>2030</v>
      </c>
      <c r="D8" s="21">
        <f>Market_Model!F11</f>
        <v>33488092.813119404</v>
      </c>
      <c r="E8" s="21">
        <f>Market_Model!F12</f>
        <v>6918723.6954225022</v>
      </c>
      <c r="F8" s="21">
        <f>Market_Model!F13</f>
        <v>260000</v>
      </c>
      <c r="G8" s="23">
        <f>Market_Model!F14</f>
        <v>3.7579185330383784E-2</v>
      </c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 ht="42" customHeight="1">
      <c r="A10" s="27" t="s">
        <v>251</v>
      </c>
      <c r="B10" s="28" t="s">
        <v>252</v>
      </c>
      <c r="C10" s="28"/>
      <c r="D10" s="28"/>
      <c r="E10" s="28"/>
      <c r="F10" s="28"/>
      <c r="G10" s="28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mergeCells count="1">
    <mergeCell ref="A1:H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1"/>
  <sheetViews>
    <sheetView workbookViewId="0">
      <pane ySplit="4" topLeftCell="A5" activePane="bottomLeft" state="frozen"/>
      <selection sqref="A1:XFD1048576"/>
      <selection pane="bottomLeft" sqref="A1:XFD1048576"/>
    </sheetView>
  </sheetViews>
  <sheetFormatPr defaultColWidth="8.875" defaultRowHeight="14.25"/>
  <cols>
    <col min="1" max="1" width="24" style="4" customWidth="1"/>
    <col min="2" max="2" width="58" style="4" customWidth="1"/>
    <col min="3" max="3" width="24" style="4" customWidth="1"/>
    <col min="4" max="4" width="34" style="4" customWidth="1"/>
    <col min="5" max="5" width="16" style="4" customWidth="1"/>
    <col min="6" max="6" width="42" style="4" customWidth="1"/>
    <col min="7" max="7" width="28" style="4" customWidth="1"/>
    <col min="8" max="8" width="34" style="4" customWidth="1"/>
    <col min="9" max="16384" width="8.875" style="4"/>
  </cols>
  <sheetData>
    <row r="1" spans="1:8" ht="27.95" customHeight="1">
      <c r="A1" s="42" t="s">
        <v>253</v>
      </c>
      <c r="B1" s="33"/>
      <c r="C1" s="33"/>
      <c r="D1" s="33"/>
      <c r="E1" s="33"/>
      <c r="F1" s="33"/>
      <c r="G1" s="33"/>
      <c r="H1" s="33"/>
    </row>
    <row r="2" spans="1:8" ht="33.950000000000003" customHeight="1">
      <c r="A2" s="41" t="s">
        <v>254</v>
      </c>
      <c r="B2" s="33"/>
      <c r="C2" s="33"/>
      <c r="D2" s="33"/>
      <c r="E2" s="33"/>
      <c r="F2" s="33"/>
      <c r="G2" s="33"/>
      <c r="H2" s="33"/>
    </row>
    <row r="4" spans="1:8" s="12" customFormat="1" ht="15">
      <c r="A4" s="11" t="s">
        <v>255</v>
      </c>
      <c r="B4" s="11" t="s">
        <v>256</v>
      </c>
      <c r="C4" s="11" t="s">
        <v>257</v>
      </c>
      <c r="D4" s="11" t="s">
        <v>258</v>
      </c>
      <c r="E4" s="11" t="s">
        <v>259</v>
      </c>
      <c r="F4" s="11" t="s">
        <v>260</v>
      </c>
      <c r="G4" s="11" t="s">
        <v>261</v>
      </c>
      <c r="H4" s="11" t="s">
        <v>12</v>
      </c>
    </row>
    <row r="5" spans="1:8" ht="38.25">
      <c r="A5" s="13" t="s">
        <v>262</v>
      </c>
      <c r="B5" s="13" t="s">
        <v>263</v>
      </c>
      <c r="C5" s="13" t="s">
        <v>264</v>
      </c>
      <c r="D5" s="13" t="s">
        <v>265</v>
      </c>
      <c r="E5" s="13" t="s">
        <v>266</v>
      </c>
      <c r="F5" s="13" t="s">
        <v>267</v>
      </c>
      <c r="G5" s="13" t="s">
        <v>268</v>
      </c>
      <c r="H5" s="13" t="s">
        <v>269</v>
      </c>
    </row>
    <row r="6" spans="1:8" ht="38.25">
      <c r="A6" s="14" t="s">
        <v>270</v>
      </c>
      <c r="B6" s="14" t="s">
        <v>271</v>
      </c>
      <c r="C6" s="14" t="s">
        <v>272</v>
      </c>
      <c r="D6" s="14" t="s">
        <v>273</v>
      </c>
      <c r="E6" s="14" t="s">
        <v>266</v>
      </c>
      <c r="F6" s="14" t="s">
        <v>274</v>
      </c>
      <c r="G6" s="14" t="s">
        <v>275</v>
      </c>
      <c r="H6" s="14" t="s">
        <v>276</v>
      </c>
    </row>
    <row r="7" spans="1:8" ht="38.25">
      <c r="A7" s="13" t="s">
        <v>277</v>
      </c>
      <c r="B7" s="13" t="s">
        <v>278</v>
      </c>
      <c r="C7" s="13" t="s">
        <v>272</v>
      </c>
      <c r="D7" s="13" t="s">
        <v>279</v>
      </c>
      <c r="E7" s="13" t="s">
        <v>266</v>
      </c>
      <c r="F7" s="13" t="s">
        <v>280</v>
      </c>
      <c r="G7" s="13" t="s">
        <v>281</v>
      </c>
      <c r="H7" s="13" t="s">
        <v>276</v>
      </c>
    </row>
    <row r="8" spans="1:8" ht="25.5">
      <c r="A8" s="14" t="s">
        <v>282</v>
      </c>
      <c r="B8" s="14" t="s">
        <v>283</v>
      </c>
      <c r="C8" s="14" t="s">
        <v>284</v>
      </c>
      <c r="D8" s="14" t="s">
        <v>285</v>
      </c>
      <c r="E8" s="14" t="s">
        <v>286</v>
      </c>
      <c r="F8" s="14" t="s">
        <v>287</v>
      </c>
      <c r="G8" s="14" t="s">
        <v>288</v>
      </c>
      <c r="H8" s="14" t="s">
        <v>289</v>
      </c>
    </row>
    <row r="9" spans="1:8" ht="25.5">
      <c r="A9" s="13" t="s">
        <v>290</v>
      </c>
      <c r="B9" s="13" t="s">
        <v>291</v>
      </c>
      <c r="C9" s="13" t="s">
        <v>284</v>
      </c>
      <c r="D9" s="13" t="s">
        <v>292</v>
      </c>
      <c r="E9" s="13" t="s">
        <v>286</v>
      </c>
      <c r="F9" s="13" t="s">
        <v>293</v>
      </c>
      <c r="G9" s="13" t="s">
        <v>294</v>
      </c>
      <c r="H9" s="13" t="s">
        <v>295</v>
      </c>
    </row>
    <row r="10" spans="1:8" ht="25.5">
      <c r="A10" s="14" t="s">
        <v>296</v>
      </c>
      <c r="B10" s="14" t="s">
        <v>297</v>
      </c>
      <c r="C10" s="14" t="s">
        <v>264</v>
      </c>
      <c r="D10" s="14" t="s">
        <v>298</v>
      </c>
      <c r="E10" s="14" t="s">
        <v>266</v>
      </c>
      <c r="F10" s="14" t="s">
        <v>299</v>
      </c>
      <c r="G10" s="14" t="s">
        <v>300</v>
      </c>
      <c r="H10" s="14" t="s">
        <v>301</v>
      </c>
    </row>
    <row r="11" spans="1:8" ht="25.5">
      <c r="A11" s="13" t="s">
        <v>302</v>
      </c>
      <c r="B11" s="13" t="s">
        <v>303</v>
      </c>
      <c r="C11" s="13" t="s">
        <v>304</v>
      </c>
      <c r="D11" s="13" t="s">
        <v>305</v>
      </c>
      <c r="E11" s="13" t="s">
        <v>286</v>
      </c>
      <c r="F11" s="13" t="s">
        <v>306</v>
      </c>
      <c r="G11" s="13" t="s">
        <v>307</v>
      </c>
      <c r="H11" s="13" t="s">
        <v>308</v>
      </c>
    </row>
  </sheetData>
  <autoFilter ref="A4:H11" xr:uid="{00000000-0009-0000-0000-000007000000}"/>
  <mergeCells count="2">
    <mergeCell ref="A2:H2"/>
    <mergeCell ref="A1:H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0"/>
  <sheetViews>
    <sheetView workbookViewId="0">
      <pane ySplit="4" topLeftCell="A5" activePane="bottomLeft" state="frozen"/>
      <selection sqref="A1:XFD1048576"/>
      <selection pane="bottomLeft" sqref="A1:XFD1048576"/>
    </sheetView>
  </sheetViews>
  <sheetFormatPr defaultColWidth="8.875" defaultRowHeight="14.25"/>
  <cols>
    <col min="1" max="1" width="24" style="4" customWidth="1"/>
    <col min="2" max="4" width="18" style="4" customWidth="1"/>
    <col min="5" max="5" width="28" style="4" customWidth="1"/>
    <col min="6" max="7" width="18" style="4" customWidth="1"/>
    <col min="8" max="8" width="32" style="4" customWidth="1"/>
    <col min="9" max="9" width="34" style="4" customWidth="1"/>
    <col min="10" max="10" width="32" style="4" customWidth="1"/>
    <col min="11" max="16384" width="8.875" style="4"/>
  </cols>
  <sheetData>
    <row r="1" spans="1:10" ht="27.95" customHeight="1">
      <c r="A1" s="42" t="s">
        <v>309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33.950000000000003" customHeight="1">
      <c r="A2" s="41" t="s">
        <v>310</v>
      </c>
      <c r="B2" s="33"/>
      <c r="C2" s="33"/>
      <c r="D2" s="33"/>
      <c r="E2" s="33"/>
      <c r="F2" s="33"/>
      <c r="G2" s="33"/>
      <c r="H2" s="33"/>
      <c r="I2" s="33"/>
      <c r="J2" s="33"/>
    </row>
    <row r="4" spans="1:10" s="12" customFormat="1" ht="25.5">
      <c r="A4" s="11" t="s">
        <v>282</v>
      </c>
      <c r="B4" s="11" t="s">
        <v>311</v>
      </c>
      <c r="C4" s="11" t="s">
        <v>312</v>
      </c>
      <c r="D4" s="11" t="s">
        <v>313</v>
      </c>
      <c r="E4" s="11" t="s">
        <v>314</v>
      </c>
      <c r="F4" s="11" t="s">
        <v>315</v>
      </c>
      <c r="G4" s="11" t="s">
        <v>316</v>
      </c>
      <c r="H4" s="11" t="s">
        <v>317</v>
      </c>
      <c r="I4" s="11" t="s">
        <v>12</v>
      </c>
      <c r="J4" s="11" t="s">
        <v>15</v>
      </c>
    </row>
    <row r="5" spans="1:10" ht="25.5">
      <c r="A5" s="17">
        <v>0.5</v>
      </c>
      <c r="B5" s="15">
        <f>Market_Model!F10*Inputs!$C$7*A5</f>
        <v>5322095.1503250012</v>
      </c>
      <c r="C5" s="15">
        <f t="shared" ref="C5:C10" si="0">B5*0.015</f>
        <v>79831.427254875016</v>
      </c>
      <c r="D5" s="15">
        <f t="shared" ref="D5:D10" si="1">B5*0.025</f>
        <v>133052.37875812504</v>
      </c>
      <c r="E5" s="15">
        <f t="shared" ref="E5:E10" si="2">B5*0.034</f>
        <v>180951.23511105005</v>
      </c>
      <c r="F5" s="15">
        <f t="shared" ref="F5:F10" si="3">B5*0.045</f>
        <v>239494.28176462505</v>
      </c>
      <c r="G5" s="15">
        <f t="shared" ref="G5:G10" si="4">B5*0.06</f>
        <v>319325.70901950006</v>
      </c>
      <c r="H5" s="18">
        <f>E5*Market_Model!F15*12/1000000000</f>
        <v>12.807004616219677</v>
      </c>
      <c r="I5" s="13" t="s">
        <v>318</v>
      </c>
      <c r="J5" s="13" t="s">
        <v>319</v>
      </c>
    </row>
    <row r="6" spans="1:10" ht="25.5">
      <c r="A6" s="19">
        <v>0.55000000000000004</v>
      </c>
      <c r="B6" s="16">
        <f>Market_Model!F10*Inputs!$C$7*A6</f>
        <v>5854304.6653575022</v>
      </c>
      <c r="C6" s="16">
        <f t="shared" si="0"/>
        <v>87814.569980362532</v>
      </c>
      <c r="D6" s="16">
        <f t="shared" si="1"/>
        <v>146357.61663393755</v>
      </c>
      <c r="E6" s="16">
        <f t="shared" si="2"/>
        <v>199046.35862215509</v>
      </c>
      <c r="F6" s="16">
        <f t="shared" si="3"/>
        <v>263443.70994108758</v>
      </c>
      <c r="G6" s="16">
        <f t="shared" si="4"/>
        <v>351258.27992145013</v>
      </c>
      <c r="H6" s="20">
        <f>E6*Market_Model!F15*12/1000000000</f>
        <v>14.087705077841647</v>
      </c>
      <c r="I6" s="14" t="s">
        <v>318</v>
      </c>
      <c r="J6" s="14" t="s">
        <v>319</v>
      </c>
    </row>
    <row r="7" spans="1:10" ht="25.5">
      <c r="A7" s="17">
        <v>0.6</v>
      </c>
      <c r="B7" s="15">
        <f>Market_Model!F10*Inputs!$C$7*A7</f>
        <v>6386514.1803900013</v>
      </c>
      <c r="C7" s="15">
        <f t="shared" si="0"/>
        <v>95797.712705850019</v>
      </c>
      <c r="D7" s="15">
        <f t="shared" si="1"/>
        <v>159662.85450975003</v>
      </c>
      <c r="E7" s="15">
        <f t="shared" si="2"/>
        <v>217141.48213326005</v>
      </c>
      <c r="F7" s="15">
        <f t="shared" si="3"/>
        <v>287393.13811755006</v>
      </c>
      <c r="G7" s="15">
        <f t="shared" si="4"/>
        <v>383190.85082340008</v>
      </c>
      <c r="H7" s="18">
        <f>E7*Market_Model!F15*12/1000000000</f>
        <v>15.368405539463614</v>
      </c>
      <c r="I7" s="13" t="s">
        <v>318</v>
      </c>
      <c r="J7" s="13" t="s">
        <v>319</v>
      </c>
    </row>
    <row r="8" spans="1:10" ht="25.5">
      <c r="A8" s="19">
        <v>0.65</v>
      </c>
      <c r="B8" s="16">
        <f>Market_Model!F10*Inputs!$C$7*A8</f>
        <v>6918723.6954225022</v>
      </c>
      <c r="C8" s="16">
        <f t="shared" si="0"/>
        <v>103780.85543133754</v>
      </c>
      <c r="D8" s="16">
        <f t="shared" si="1"/>
        <v>172968.09238556257</v>
      </c>
      <c r="E8" s="16">
        <f t="shared" si="2"/>
        <v>235236.6056443651</v>
      </c>
      <c r="F8" s="16">
        <f t="shared" si="3"/>
        <v>311342.56629401259</v>
      </c>
      <c r="G8" s="16">
        <f t="shared" si="4"/>
        <v>415123.42172535014</v>
      </c>
      <c r="H8" s="20">
        <f>E8*Market_Model!F15*12/1000000000</f>
        <v>16.649106001085581</v>
      </c>
      <c r="I8" s="14" t="s">
        <v>320</v>
      </c>
      <c r="J8" s="14" t="s">
        <v>319</v>
      </c>
    </row>
    <row r="9" spans="1:10" ht="25.5">
      <c r="A9" s="17">
        <v>0.7</v>
      </c>
      <c r="B9" s="15">
        <f>Market_Model!F10*Inputs!$C$7*A9</f>
        <v>7450933.2104550013</v>
      </c>
      <c r="C9" s="15">
        <f t="shared" si="0"/>
        <v>111763.99815682502</v>
      </c>
      <c r="D9" s="15">
        <f t="shared" si="1"/>
        <v>186273.33026137506</v>
      </c>
      <c r="E9" s="15">
        <f t="shared" si="2"/>
        <v>253331.72915547006</v>
      </c>
      <c r="F9" s="15">
        <f t="shared" si="3"/>
        <v>335291.99447047507</v>
      </c>
      <c r="G9" s="15">
        <f t="shared" si="4"/>
        <v>447055.99262730009</v>
      </c>
      <c r="H9" s="18">
        <f>E9*Market_Model!F15*12/1000000000</f>
        <v>17.92980646270755</v>
      </c>
      <c r="I9" s="13" t="s">
        <v>318</v>
      </c>
      <c r="J9" s="13" t="s">
        <v>319</v>
      </c>
    </row>
    <row r="10" spans="1:10" ht="25.5">
      <c r="A10" s="19">
        <v>0.8</v>
      </c>
      <c r="B10" s="16">
        <f>Market_Model!F10*Inputs!$C$7*A10</f>
        <v>8515352.2405200023</v>
      </c>
      <c r="C10" s="16">
        <f t="shared" si="0"/>
        <v>127730.28360780003</v>
      </c>
      <c r="D10" s="16">
        <f t="shared" si="1"/>
        <v>212883.80601300008</v>
      </c>
      <c r="E10" s="16">
        <f t="shared" si="2"/>
        <v>289521.97617768007</v>
      </c>
      <c r="F10" s="16">
        <f t="shared" si="3"/>
        <v>383190.85082340008</v>
      </c>
      <c r="G10" s="16">
        <f t="shared" si="4"/>
        <v>510921.1344312001</v>
      </c>
      <c r="H10" s="20">
        <f>E10*Market_Model!F15*12/1000000000</f>
        <v>20.491207385951483</v>
      </c>
      <c r="I10" s="14" t="s">
        <v>318</v>
      </c>
      <c r="J10" s="14" t="s">
        <v>319</v>
      </c>
    </row>
  </sheetData>
  <mergeCells count="2">
    <mergeCell ref="A1:J1"/>
    <mergeCell ref="A2:J2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2"/>
  <sheetViews>
    <sheetView workbookViewId="0">
      <pane ySplit="4" topLeftCell="A5" activePane="bottomLeft" state="frozen"/>
      <selection sqref="A1:XFD1048576"/>
      <selection pane="bottomLeft" sqref="A1:XFD1048576"/>
    </sheetView>
  </sheetViews>
  <sheetFormatPr defaultColWidth="8.875" defaultRowHeight="14.25"/>
  <cols>
    <col min="1" max="1" width="34" style="4" customWidth="1"/>
    <col min="2" max="6" width="14" style="4" customWidth="1"/>
    <col min="7" max="8" width="34" style="4" customWidth="1"/>
    <col min="9" max="9" width="30" style="4" customWidth="1"/>
    <col min="10" max="10" width="42" style="4" customWidth="1"/>
    <col min="11" max="16384" width="8.875" style="4"/>
  </cols>
  <sheetData>
    <row r="1" spans="1:10" ht="27.95" customHeight="1">
      <c r="A1" s="43" t="s">
        <v>321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33.950000000000003" customHeight="1">
      <c r="A2" s="41" t="s">
        <v>322</v>
      </c>
      <c r="B2" s="33"/>
      <c r="C2" s="33"/>
      <c r="D2" s="33"/>
      <c r="E2" s="33"/>
      <c r="F2" s="33"/>
      <c r="G2" s="33"/>
      <c r="H2" s="33"/>
      <c r="I2" s="33"/>
      <c r="J2" s="33"/>
    </row>
    <row r="4" spans="1:10" s="12" customFormat="1" ht="15">
      <c r="A4" s="11" t="s">
        <v>323</v>
      </c>
      <c r="B4" s="11">
        <v>2026</v>
      </c>
      <c r="C4" s="11">
        <v>2027</v>
      </c>
      <c r="D4" s="11">
        <v>2028</v>
      </c>
      <c r="E4" s="11">
        <v>2029</v>
      </c>
      <c r="F4" s="11">
        <v>2030</v>
      </c>
      <c r="G4" s="11" t="s">
        <v>324</v>
      </c>
      <c r="H4" s="11" t="s">
        <v>325</v>
      </c>
      <c r="I4" s="11" t="s">
        <v>326</v>
      </c>
      <c r="J4" s="11" t="s">
        <v>327</v>
      </c>
    </row>
    <row r="5" spans="1:10" ht="25.5">
      <c r="A5" s="13" t="s">
        <v>328</v>
      </c>
      <c r="B5" s="15">
        <f>Assumptions!C8</f>
        <v>60000</v>
      </c>
      <c r="C5" s="15">
        <f>Assumptions!D8</f>
        <v>95000</v>
      </c>
      <c r="D5" s="15">
        <f>Assumptions!E8</f>
        <v>140000</v>
      </c>
      <c r="E5" s="15">
        <f>Assumptions!F8</f>
        <v>200000</v>
      </c>
      <c r="F5" s="15">
        <f>Assumptions!G8</f>
        <v>260000</v>
      </c>
      <c r="G5" s="13" t="s">
        <v>329</v>
      </c>
      <c r="H5" s="13" t="s">
        <v>330</v>
      </c>
      <c r="I5" s="13" t="s">
        <v>331</v>
      </c>
      <c r="J5" s="13" t="s">
        <v>332</v>
      </c>
    </row>
    <row r="6" spans="1:10">
      <c r="A6" s="14" t="s">
        <v>333</v>
      </c>
      <c r="B6" s="16">
        <f>B5</f>
        <v>60000</v>
      </c>
      <c r="C6" s="16">
        <f>C5-B5</f>
        <v>35000</v>
      </c>
      <c r="D6" s="16">
        <f>D5-C5</f>
        <v>45000</v>
      </c>
      <c r="E6" s="16">
        <f>E5-D5</f>
        <v>60000</v>
      </c>
      <c r="F6" s="16">
        <f>F5-E5</f>
        <v>60000</v>
      </c>
      <c r="G6" s="14" t="s">
        <v>334</v>
      </c>
      <c r="H6" s="14" t="s">
        <v>330</v>
      </c>
      <c r="I6" s="14" t="s">
        <v>335</v>
      </c>
      <c r="J6" s="14" t="s">
        <v>336</v>
      </c>
    </row>
    <row r="7" spans="1:10" ht="25.5">
      <c r="A7" s="13" t="s">
        <v>337</v>
      </c>
      <c r="B7" s="15">
        <f>B6*45%</f>
        <v>27000</v>
      </c>
      <c r="C7" s="15">
        <f>C6*42%</f>
        <v>14700</v>
      </c>
      <c r="D7" s="15">
        <f>D6*40%</f>
        <v>18000</v>
      </c>
      <c r="E7" s="15">
        <f>E6*38%</f>
        <v>22800</v>
      </c>
      <c r="F7" s="15">
        <f>F6*36%</f>
        <v>21600</v>
      </c>
      <c r="G7" s="13" t="s">
        <v>338</v>
      </c>
      <c r="H7" s="13" t="s">
        <v>339</v>
      </c>
      <c r="I7" s="13" t="s">
        <v>340</v>
      </c>
      <c r="J7" s="13" t="s">
        <v>341</v>
      </c>
    </row>
    <row r="8" spans="1:10" ht="25.5">
      <c r="A8" s="14" t="s">
        <v>342</v>
      </c>
      <c r="B8" s="16">
        <f>B6*20%</f>
        <v>12000</v>
      </c>
      <c r="C8" s="16">
        <f>C6*22%</f>
        <v>7700</v>
      </c>
      <c r="D8" s="16">
        <f>D6*23%</f>
        <v>10350</v>
      </c>
      <c r="E8" s="16">
        <f>E6*24%</f>
        <v>14400</v>
      </c>
      <c r="F8" s="16">
        <f>F6*25%</f>
        <v>15000</v>
      </c>
      <c r="G8" s="14" t="s">
        <v>343</v>
      </c>
      <c r="H8" s="14" t="s">
        <v>344</v>
      </c>
      <c r="I8" s="14" t="s">
        <v>345</v>
      </c>
      <c r="J8" s="14" t="s">
        <v>346</v>
      </c>
    </row>
    <row r="9" spans="1:10" ht="25.5">
      <c r="A9" s="13" t="s">
        <v>347</v>
      </c>
      <c r="B9" s="15">
        <f>B6*15%</f>
        <v>9000</v>
      </c>
      <c r="C9" s="15">
        <f>C6*15%</f>
        <v>5250</v>
      </c>
      <c r="D9" s="15">
        <f>D6*15%</f>
        <v>6750</v>
      </c>
      <c r="E9" s="15">
        <f>E6*15%</f>
        <v>9000</v>
      </c>
      <c r="F9" s="15">
        <f>F6*15%</f>
        <v>9000</v>
      </c>
      <c r="G9" s="13" t="s">
        <v>348</v>
      </c>
      <c r="H9" s="13" t="s">
        <v>349</v>
      </c>
      <c r="I9" s="13" t="s">
        <v>350</v>
      </c>
      <c r="J9" s="13" t="s">
        <v>351</v>
      </c>
    </row>
    <row r="10" spans="1:10" ht="25.5">
      <c r="A10" s="14" t="s">
        <v>352</v>
      </c>
      <c r="B10" s="16">
        <f>B6*10%</f>
        <v>6000</v>
      </c>
      <c r="C10" s="16">
        <f>C6*11%</f>
        <v>3850</v>
      </c>
      <c r="D10" s="16">
        <f>D6*12%</f>
        <v>5400</v>
      </c>
      <c r="E10" s="16">
        <f>E6*13%</f>
        <v>7800</v>
      </c>
      <c r="F10" s="16">
        <f>F6*14%</f>
        <v>8400</v>
      </c>
      <c r="G10" s="14" t="s">
        <v>353</v>
      </c>
      <c r="H10" s="14" t="s">
        <v>354</v>
      </c>
      <c r="I10" s="14" t="s">
        <v>355</v>
      </c>
      <c r="J10" s="14" t="s">
        <v>356</v>
      </c>
    </row>
    <row r="11" spans="1:10" ht="25.5">
      <c r="A11" s="13" t="s">
        <v>357</v>
      </c>
      <c r="B11" s="15">
        <f>B6*10%</f>
        <v>6000</v>
      </c>
      <c r="C11" s="15">
        <f>C6*10%</f>
        <v>3500</v>
      </c>
      <c r="D11" s="15">
        <f>D6*10%</f>
        <v>4500</v>
      </c>
      <c r="E11" s="15">
        <f>E6*10%</f>
        <v>6000</v>
      </c>
      <c r="F11" s="15">
        <f>F6*10%</f>
        <v>6000</v>
      </c>
      <c r="G11" s="13" t="s">
        <v>358</v>
      </c>
      <c r="H11" s="13" t="s">
        <v>359</v>
      </c>
      <c r="I11" s="13" t="s">
        <v>360</v>
      </c>
      <c r="J11" s="13" t="s">
        <v>361</v>
      </c>
    </row>
    <row r="12" spans="1:10">
      <c r="A12" s="14" t="s">
        <v>362</v>
      </c>
      <c r="B12" s="16">
        <f>SUM(B7:B11)-B6</f>
        <v>0</v>
      </c>
      <c r="C12" s="16">
        <f>SUM(C7:C11)-C6</f>
        <v>0</v>
      </c>
      <c r="D12" s="16">
        <f>SUM(D7:D11)-D6</f>
        <v>0</v>
      </c>
      <c r="E12" s="16">
        <f>SUM(E7:E11)-E6</f>
        <v>0</v>
      </c>
      <c r="F12" s="16">
        <f>SUM(F7:F11)-F6</f>
        <v>0</v>
      </c>
      <c r="G12" s="14" t="s">
        <v>363</v>
      </c>
      <c r="H12" s="14" t="s">
        <v>364</v>
      </c>
      <c r="I12" s="14" t="s">
        <v>365</v>
      </c>
      <c r="J12" s="14" t="s">
        <v>366</v>
      </c>
    </row>
  </sheetData>
  <mergeCells count="2">
    <mergeCell ref="A1:J1"/>
    <mergeCell ref="A2:J2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7"/>
  <sheetViews>
    <sheetView workbookViewId="0">
      <pane ySplit="4" topLeftCell="A5" activePane="bottomLeft" state="frozen"/>
      <selection sqref="A1:XFD1048576"/>
      <selection pane="bottomLeft" sqref="A1:XFD1048576"/>
    </sheetView>
  </sheetViews>
  <sheetFormatPr defaultColWidth="8.875" defaultRowHeight="14.25"/>
  <cols>
    <col min="1" max="1" width="14" style="4" customWidth="1"/>
    <col min="2" max="2" width="22" style="4" customWidth="1"/>
    <col min="3" max="3" width="24" style="4" customWidth="1"/>
    <col min="4" max="4" width="28" style="4" customWidth="1"/>
    <col min="5" max="5" width="18" style="4" customWidth="1"/>
    <col min="6" max="6" width="26" style="4" customWidth="1"/>
    <col min="7" max="7" width="22" style="4" customWidth="1"/>
    <col min="8" max="8" width="32" style="4" customWidth="1"/>
    <col min="9" max="9" width="38" style="4" customWidth="1"/>
    <col min="10" max="16384" width="8.875" style="4"/>
  </cols>
  <sheetData>
    <row r="1" spans="1:9" ht="27.95" customHeight="1">
      <c r="A1" s="42" t="s">
        <v>367</v>
      </c>
      <c r="B1" s="33"/>
      <c r="C1" s="33"/>
      <c r="D1" s="33"/>
      <c r="E1" s="33"/>
      <c r="F1" s="33"/>
      <c r="G1" s="33"/>
      <c r="H1" s="33"/>
      <c r="I1" s="33"/>
    </row>
    <row r="2" spans="1:9" ht="33.950000000000003" customHeight="1">
      <c r="A2" s="41" t="s">
        <v>368</v>
      </c>
      <c r="B2" s="33"/>
      <c r="C2" s="33"/>
      <c r="D2" s="33"/>
      <c r="E2" s="33"/>
      <c r="F2" s="33"/>
      <c r="G2" s="33"/>
      <c r="H2" s="33"/>
      <c r="I2" s="33"/>
    </row>
    <row r="4" spans="1:9" s="12" customFormat="1" ht="25.5">
      <c r="A4" s="11" t="s">
        <v>369</v>
      </c>
      <c r="B4" s="11" t="s">
        <v>370</v>
      </c>
      <c r="C4" s="11" t="s">
        <v>371</v>
      </c>
      <c r="D4" s="11" t="s">
        <v>372</v>
      </c>
      <c r="E4" s="11" t="s">
        <v>373</v>
      </c>
      <c r="F4" s="11" t="s">
        <v>374</v>
      </c>
      <c r="G4" s="11" t="s">
        <v>375</v>
      </c>
      <c r="H4" s="11" t="s">
        <v>376</v>
      </c>
      <c r="I4" s="11" t="s">
        <v>12</v>
      </c>
    </row>
    <row r="5" spans="1:9">
      <c r="A5" s="13" t="s">
        <v>377</v>
      </c>
      <c r="B5" s="15">
        <f>Inputs!$C$22</f>
        <v>377000</v>
      </c>
      <c r="C5" s="15">
        <f>B5*Inputs!$C$27</f>
        <v>320450</v>
      </c>
      <c r="D5" s="15">
        <f>B5*(1-Inputs!$C$26)</f>
        <v>369460</v>
      </c>
      <c r="E5" s="15">
        <f>B5*Inputs!$C$24</f>
        <v>271440</v>
      </c>
      <c r="F5" s="15">
        <f>C5*Inputs!$C$7</f>
        <v>261166.74999999997</v>
      </c>
      <c r="G5" s="15">
        <f>F5*Assumptions!C$3</f>
        <v>169758.38749999998</v>
      </c>
      <c r="H5" s="15">
        <f>G5</f>
        <v>169758.38749999998</v>
      </c>
      <c r="I5" s="13" t="s">
        <v>378</v>
      </c>
    </row>
    <row r="6" spans="1:9" ht="25.5">
      <c r="A6" s="14" t="s">
        <v>379</v>
      </c>
      <c r="B6" s="16">
        <f>AVERAGE(Inputs!$C$22,Inputs!$C$23)</f>
        <v>608500</v>
      </c>
      <c r="C6" s="16">
        <f>B6*Inputs!$C$27</f>
        <v>517225</v>
      </c>
      <c r="D6" s="16">
        <f>B6*(1-Inputs!$C$26)</f>
        <v>596330</v>
      </c>
      <c r="E6" s="16">
        <f>B6*Inputs!$C$24</f>
        <v>438120</v>
      </c>
      <c r="F6" s="16">
        <f>C6*Inputs!$C$7</f>
        <v>421538.375</v>
      </c>
      <c r="G6" s="16">
        <f>F6*Assumptions!C$3</f>
        <v>273999.94375000003</v>
      </c>
      <c r="H6" s="16">
        <f>G6</f>
        <v>273999.94375000003</v>
      </c>
      <c r="I6" s="14" t="s">
        <v>380</v>
      </c>
    </row>
    <row r="7" spans="1:9" ht="25.5">
      <c r="A7" s="13" t="s">
        <v>381</v>
      </c>
      <c r="B7" s="15">
        <f>Inputs!$C$23</f>
        <v>840000</v>
      </c>
      <c r="C7" s="15">
        <f>B7*Inputs!$C$27</f>
        <v>714000</v>
      </c>
      <c r="D7" s="15">
        <f>B7*(1-Inputs!$C$26)</f>
        <v>823200</v>
      </c>
      <c r="E7" s="15">
        <f>B7*Inputs!$C$24</f>
        <v>604800</v>
      </c>
      <c r="F7" s="15">
        <f>C7*Inputs!$C$7</f>
        <v>581910</v>
      </c>
      <c r="G7" s="15">
        <f>F7*Assumptions!C$3</f>
        <v>378241.5</v>
      </c>
      <c r="H7" s="15">
        <f>G7</f>
        <v>378241.5</v>
      </c>
      <c r="I7" s="13" t="s">
        <v>382</v>
      </c>
    </row>
  </sheetData>
  <mergeCells count="2">
    <mergeCell ref="A1:I1"/>
    <mergeCell ref="A2:I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1"/>
  <sheetViews>
    <sheetView workbookViewId="0">
      <pane ySplit="4" topLeftCell="A5" activePane="bottomLeft" state="frozen"/>
      <selection sqref="A1:XFD1048576"/>
      <selection pane="bottomLeft" sqref="A1:XFD1048576"/>
    </sheetView>
  </sheetViews>
  <sheetFormatPr defaultColWidth="8.875" defaultRowHeight="14.25"/>
  <cols>
    <col min="1" max="1" width="24" style="4" customWidth="1"/>
    <col min="2" max="2" width="38" style="4" customWidth="1"/>
    <col min="3" max="3" width="20" style="4" customWidth="1"/>
    <col min="4" max="4" width="42" style="4" customWidth="1"/>
    <col min="5" max="5" width="28" style="4" customWidth="1"/>
    <col min="6" max="6" width="14" style="4" customWidth="1"/>
    <col min="7" max="7" width="42" style="4" customWidth="1"/>
    <col min="8" max="16384" width="8.875" style="4"/>
  </cols>
  <sheetData>
    <row r="1" spans="1:7" ht="27.95" customHeight="1">
      <c r="A1" s="42" t="s">
        <v>383</v>
      </c>
      <c r="B1" s="33"/>
      <c r="C1" s="33"/>
      <c r="D1" s="33"/>
      <c r="E1" s="33"/>
      <c r="F1" s="33"/>
      <c r="G1" s="33"/>
    </row>
    <row r="2" spans="1:7" ht="33.950000000000003" customHeight="1">
      <c r="A2" s="41" t="s">
        <v>384</v>
      </c>
      <c r="B2" s="33"/>
      <c r="C2" s="33"/>
      <c r="D2" s="33"/>
      <c r="E2" s="33"/>
      <c r="F2" s="33"/>
      <c r="G2" s="33"/>
    </row>
    <row r="4" spans="1:7" s="12" customFormat="1" ht="15">
      <c r="A4" s="11" t="s">
        <v>385</v>
      </c>
      <c r="B4" s="11" t="s">
        <v>386</v>
      </c>
      <c r="C4" s="11" t="s">
        <v>387</v>
      </c>
      <c r="D4" s="11" t="s">
        <v>388</v>
      </c>
      <c r="E4" s="11" t="s">
        <v>389</v>
      </c>
      <c r="F4" s="11" t="s">
        <v>390</v>
      </c>
      <c r="G4" s="11" t="s">
        <v>12</v>
      </c>
    </row>
    <row r="5" spans="1:7">
      <c r="A5" s="13" t="s">
        <v>391</v>
      </c>
      <c r="B5" s="13" t="s">
        <v>392</v>
      </c>
      <c r="C5" s="13" t="s">
        <v>393</v>
      </c>
      <c r="D5" s="13" t="s">
        <v>394</v>
      </c>
      <c r="E5" s="13" t="s">
        <v>395</v>
      </c>
      <c r="F5" s="13" t="s">
        <v>396</v>
      </c>
      <c r="G5" s="13" t="s">
        <v>397</v>
      </c>
    </row>
    <row r="6" spans="1:7">
      <c r="A6" s="14" t="s">
        <v>398</v>
      </c>
      <c r="B6" s="14" t="s">
        <v>399</v>
      </c>
      <c r="C6" s="14" t="s">
        <v>400</v>
      </c>
      <c r="D6" s="14" t="s">
        <v>401</v>
      </c>
      <c r="E6" s="14" t="s">
        <v>402</v>
      </c>
      <c r="F6" s="14" t="s">
        <v>396</v>
      </c>
      <c r="G6" s="14" t="s">
        <v>403</v>
      </c>
    </row>
    <row r="7" spans="1:7" ht="25.5">
      <c r="A7" s="13" t="s">
        <v>404</v>
      </c>
      <c r="B7" s="13" t="s">
        <v>405</v>
      </c>
      <c r="C7" s="13" t="s">
        <v>406</v>
      </c>
      <c r="D7" s="13" t="s">
        <v>407</v>
      </c>
      <c r="E7" s="13" t="s">
        <v>408</v>
      </c>
      <c r="F7" s="13" t="s">
        <v>409</v>
      </c>
      <c r="G7" s="13" t="s">
        <v>410</v>
      </c>
    </row>
    <row r="8" spans="1:7">
      <c r="A8" s="14" t="s">
        <v>411</v>
      </c>
      <c r="B8" s="14" t="s">
        <v>412</v>
      </c>
      <c r="C8" s="14" t="s">
        <v>406</v>
      </c>
      <c r="D8" s="14" t="s">
        <v>413</v>
      </c>
      <c r="E8" s="14" t="s">
        <v>414</v>
      </c>
      <c r="F8" s="14" t="s">
        <v>396</v>
      </c>
      <c r="G8" s="14" t="s">
        <v>415</v>
      </c>
    </row>
    <row r="9" spans="1:7">
      <c r="A9" s="13" t="s">
        <v>416</v>
      </c>
      <c r="B9" s="13" t="s">
        <v>417</v>
      </c>
      <c r="C9" s="13" t="s">
        <v>393</v>
      </c>
      <c r="D9" s="13" t="s">
        <v>418</v>
      </c>
      <c r="E9" s="13" t="s">
        <v>419</v>
      </c>
      <c r="F9" s="13" t="s">
        <v>409</v>
      </c>
      <c r="G9" s="13" t="s">
        <v>420</v>
      </c>
    </row>
    <row r="10" spans="1:7">
      <c r="A10" s="14" t="s">
        <v>421</v>
      </c>
      <c r="B10" s="14" t="s">
        <v>422</v>
      </c>
      <c r="C10" s="14" t="s">
        <v>423</v>
      </c>
      <c r="D10" s="14" t="s">
        <v>424</v>
      </c>
      <c r="E10" s="14" t="s">
        <v>425</v>
      </c>
      <c r="F10" s="14" t="s">
        <v>396</v>
      </c>
      <c r="G10" s="14" t="s">
        <v>426</v>
      </c>
    </row>
    <row r="11" spans="1:7">
      <c r="A11" s="13" t="s">
        <v>427</v>
      </c>
      <c r="B11" s="13" t="s">
        <v>428</v>
      </c>
      <c r="C11" s="13" t="s">
        <v>423</v>
      </c>
      <c r="D11" s="13" t="s">
        <v>429</v>
      </c>
      <c r="E11" s="13" t="s">
        <v>430</v>
      </c>
      <c r="F11" s="13" t="s">
        <v>396</v>
      </c>
      <c r="G11" s="13" t="s">
        <v>431</v>
      </c>
    </row>
  </sheetData>
  <autoFilter ref="A4:G11" xr:uid="{00000000-0009-0000-0000-00000B000000}"/>
  <mergeCells count="2">
    <mergeCell ref="A2:G2"/>
    <mergeCell ref="A1:G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60"/>
  <sheetViews>
    <sheetView tabSelected="1" workbookViewId="0">
      <selection activeCell="B18" sqref="B18"/>
    </sheetView>
  </sheetViews>
  <sheetFormatPr defaultColWidth="8.875" defaultRowHeight="14.25"/>
  <cols>
    <col min="1" max="1" width="30" style="4" customWidth="1"/>
    <col min="2" max="2" width="62" style="4" customWidth="1"/>
    <col min="3" max="3" width="64" style="4" customWidth="1"/>
    <col min="4" max="4" width="70" style="4" customWidth="1"/>
    <col min="5" max="16384" width="8.875" style="4"/>
  </cols>
  <sheetData>
    <row r="1" spans="1:8" ht="15">
      <c r="A1" s="32" t="s">
        <v>432</v>
      </c>
      <c r="B1" s="33"/>
      <c r="C1" s="33"/>
      <c r="D1" s="3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 ht="15">
      <c r="A3" s="1" t="s">
        <v>255</v>
      </c>
      <c r="B3" s="1" t="s">
        <v>433</v>
      </c>
      <c r="C3" s="1" t="s">
        <v>434</v>
      </c>
      <c r="D3" s="1" t="s">
        <v>435</v>
      </c>
      <c r="E3" s="3"/>
      <c r="F3" s="3"/>
      <c r="G3" s="3"/>
      <c r="H3" s="3"/>
    </row>
    <row r="4" spans="1:8">
      <c r="A4" s="5" t="s">
        <v>436</v>
      </c>
      <c r="B4" s="5" t="s">
        <v>437</v>
      </c>
      <c r="C4" s="5" t="s">
        <v>438</v>
      </c>
      <c r="D4" s="5" t="s">
        <v>439</v>
      </c>
      <c r="E4" s="3"/>
      <c r="F4" s="3"/>
      <c r="G4" s="3"/>
      <c r="H4" s="3"/>
    </row>
    <row r="5" spans="1:8" ht="28.5">
      <c r="A5" s="5" t="s">
        <v>248</v>
      </c>
      <c r="B5" s="5" t="s">
        <v>440</v>
      </c>
      <c r="C5" s="5" t="s">
        <v>441</v>
      </c>
      <c r="D5" s="5" t="s">
        <v>442</v>
      </c>
      <c r="E5" s="3"/>
      <c r="F5" s="3"/>
      <c r="G5" s="3"/>
      <c r="H5" s="3"/>
    </row>
    <row r="6" spans="1:8" ht="28.5">
      <c r="A6" s="5" t="s">
        <v>443</v>
      </c>
      <c r="B6" s="5" t="s">
        <v>444</v>
      </c>
      <c r="C6" s="5" t="s">
        <v>445</v>
      </c>
      <c r="D6" s="5" t="s">
        <v>446</v>
      </c>
      <c r="E6" s="3"/>
      <c r="F6" s="3"/>
      <c r="G6" s="3"/>
      <c r="H6" s="3"/>
    </row>
    <row r="7" spans="1:8" ht="28.5">
      <c r="A7" s="5" t="s">
        <v>447</v>
      </c>
      <c r="B7" s="5" t="s">
        <v>448</v>
      </c>
      <c r="C7" s="5" t="s">
        <v>449</v>
      </c>
      <c r="D7" s="5" t="s">
        <v>450</v>
      </c>
      <c r="E7" s="3"/>
      <c r="F7" s="3"/>
      <c r="G7" s="3"/>
      <c r="H7" s="3"/>
    </row>
    <row r="8" spans="1:8" ht="28.5">
      <c r="A8" s="5" t="s">
        <v>451</v>
      </c>
      <c r="B8" s="5" t="s">
        <v>452</v>
      </c>
      <c r="C8" s="5" t="s">
        <v>453</v>
      </c>
      <c r="D8" s="5" t="s">
        <v>454</v>
      </c>
      <c r="E8" s="3"/>
      <c r="F8" s="3"/>
      <c r="G8" s="3"/>
      <c r="H8" s="3"/>
    </row>
    <row r="9" spans="1:8" ht="28.5">
      <c r="A9" s="5" t="s">
        <v>455</v>
      </c>
      <c r="B9" s="5" t="s">
        <v>456</v>
      </c>
      <c r="C9" s="5" t="s">
        <v>457</v>
      </c>
      <c r="D9" s="5" t="s">
        <v>458</v>
      </c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  <row r="26" spans="1:8">
      <c r="A26" s="3"/>
      <c r="B26" s="3"/>
      <c r="C26" s="3"/>
      <c r="D26" s="3"/>
      <c r="E26" s="3"/>
      <c r="F26" s="3"/>
      <c r="G26" s="3"/>
      <c r="H26" s="3"/>
    </row>
    <row r="27" spans="1:8">
      <c r="A27" s="3"/>
      <c r="B27" s="3"/>
      <c r="C27" s="3"/>
      <c r="D27" s="3"/>
      <c r="E27" s="3"/>
      <c r="F27" s="3"/>
      <c r="G27" s="3"/>
      <c r="H27" s="3"/>
    </row>
    <row r="28" spans="1:8">
      <c r="A28" s="3"/>
      <c r="B28" s="3"/>
      <c r="C28" s="3"/>
      <c r="D28" s="3"/>
      <c r="E28" s="3"/>
      <c r="F28" s="3"/>
      <c r="G28" s="3"/>
      <c r="H28" s="3"/>
    </row>
    <row r="29" spans="1:8">
      <c r="A29" s="3"/>
      <c r="B29" s="3"/>
      <c r="C29" s="3"/>
      <c r="D29" s="3"/>
      <c r="E29" s="3"/>
      <c r="F29" s="3"/>
      <c r="G29" s="3"/>
      <c r="H29" s="3"/>
    </row>
    <row r="30" spans="1:8">
      <c r="A30" s="3"/>
      <c r="B30" s="3"/>
      <c r="C30" s="3"/>
      <c r="D30" s="3"/>
      <c r="E30" s="3"/>
      <c r="F30" s="3"/>
      <c r="G30" s="3"/>
      <c r="H30" s="3"/>
    </row>
    <row r="31" spans="1:8">
      <c r="A31" s="3"/>
      <c r="B31" s="3"/>
      <c r="C31" s="3"/>
      <c r="D31" s="3"/>
      <c r="E31" s="3"/>
      <c r="F31" s="3"/>
      <c r="G31" s="3"/>
      <c r="H31" s="3"/>
    </row>
    <row r="32" spans="1:8">
      <c r="A32" s="3"/>
      <c r="B32" s="3"/>
      <c r="C32" s="3"/>
      <c r="D32" s="3"/>
      <c r="E32" s="3"/>
      <c r="F32" s="3"/>
      <c r="G32" s="3"/>
      <c r="H32" s="3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Cover</vt:lpstr>
      <vt:lpstr>Sources</vt:lpstr>
      <vt:lpstr>Inputs</vt:lpstr>
      <vt:lpstr>Assumptions</vt:lpstr>
      <vt:lpstr>Market_Model</vt:lpstr>
      <vt:lpstr>Segments</vt:lpstr>
      <vt:lpstr>Dashboard</vt:lpstr>
      <vt:lpstr>CBI_Interpretation</vt:lpstr>
      <vt:lpstr>Sensitivity</vt:lpstr>
      <vt:lpstr>Commercial_Bridge</vt:lpstr>
      <vt:lpstr>MSME_Cases</vt:lpstr>
      <vt:lpstr>CBI_Readiness_Checklist</vt:lpstr>
      <vt:lpstr>Methodology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MKM</cp:lastModifiedBy>
  <dcterms:created xsi:type="dcterms:W3CDTF">2026-06-13T16:29:52Z</dcterms:created>
  <dcterms:modified xsi:type="dcterms:W3CDTF">2026-06-27T11:29:47Z</dcterms:modified>
</cp:coreProperties>
</file>