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drawings/drawing2.xml" ContentType="application/vnd.openxmlformats-officedocument.drawing+xml"/>
  <Override PartName="/xl/tables/table5.xml" ContentType="application/vnd.openxmlformats-officedocument.spreadsheetml.table+xml"/>
  <Override PartName="/xl/charts/chart4.xml" ContentType="application/vnd.openxmlformats-officedocument.drawingml.chart+xml"/>
  <Override PartName="/xl/tables/table6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C:\Users\MKM\Desktop\اجوبة التطبيق\متطلبات جديد2026\وثائق كاملة\الاستمرارية والتعافي\نهائي\منجز\انكليزي\"/>
    </mc:Choice>
  </mc:AlternateContent>
  <xr:revisionPtr revIDLastSave="0" documentId="8_{83218E2C-5F15-45B8-9CCF-3F27BB550B1A}" xr6:coauthVersionLast="47" xr6:coauthVersionMax="47" xr10:uidLastSave="{00000000-0000-0000-0000-000000000000}"/>
  <bookViews>
    <workbookView xWindow="-120" yWindow="-120" windowWidth="29040" windowHeight="15720" activeTab="3" xr2:uid="{00000000-000D-0000-FFFF-FFFF00000000}"/>
  </bookViews>
  <sheets>
    <sheet name="Cover" sheetId="1" r:id="rId1"/>
    <sheet name="Sources" sheetId="2" r:id="rId2"/>
    <sheet name="Assumptions" sheetId="3" r:id="rId3"/>
    <sheet name="Market_Calibration" sheetId="4" r:id="rId4"/>
    <sheet name="Monthly_Model" sheetId="5" r:id="rId5"/>
    <sheet name="Annual_Summary" sheetId="6" r:id="rId6"/>
    <sheet name="Dashboard" sheetId="7" r:id="rId7"/>
    <sheet name="Scenarios" sheetId="8" r:id="rId8"/>
    <sheet name="Checks" sheetId="9" r:id="rId9"/>
    <sheet name="Reg_Framework" sheetId="10" r:id="rId10"/>
    <sheet name="Basel_III_CBI" sheetId="11" r:id="rId11"/>
    <sheet name="AAOIFI_IFRS_Iraq" sheetId="12" r:id="rId12"/>
    <sheet name="Reg_Stress_Checks" sheetId="13" r:id="rId13"/>
    <sheet name="Enhanced_Dashboard" sheetId="14" r:id="rId14"/>
    <sheet name="FS_Income_Statement" sheetId="15" r:id="rId15"/>
    <sheet name="FS_Balance_Sheet" sheetId="16" r:id="rId16"/>
    <sheet name="FS_Cash_Flows" sheetId="17" r:id="rId17"/>
    <sheet name="FS_Shareholders_Equity" sheetId="18" r:id="rId18"/>
    <sheet name="FS_Checks" sheetId="19" r:id="rId19"/>
    <sheet name="ECL_Assumptions" sheetId="20" r:id="rId20"/>
    <sheet name="ECL_Module" sheetId="21" r:id="rId21"/>
    <sheet name="ECL_Sensitivity" sheetId="22" r:id="rId22"/>
    <sheet name="ECL_Accounting_Map" sheetId="23" r:id="rId23"/>
    <sheet name="CBI_Provision_Checklist" sheetId="24" r:id="rId24"/>
    <sheet name="CBI_Readiness_Costs" sheetId="25" r:id="rId25"/>
    <sheet name="CBI_Standards_Mapping" sheetId="26" r:id="rId26"/>
    <sheet name="Deposit_Cap_Check" sheetId="27" r:id="rId27"/>
    <sheet name="Quarterly_Reg_Report" sheetId="28" r:id="rId28"/>
    <sheet name="Competitor_Analysis" sheetId="29" r:id="rId29"/>
    <sheet name="Customer_Segmentation" sheetId="30" r:id="rId30"/>
    <sheet name="Product_Roadmap_Pricing" sheetId="31" r:id="rId31"/>
    <sheet name="Governorate_Channel_GTM" sheetId="32" r:id="rId32"/>
    <sheet name="Underserved_Segments" sheetId="33" r:id="rId33"/>
    <sheet name="Digital_Agents_Cash_Model" sheetId="34" r:id="rId34"/>
  </sheets>
  <calcPr calcId="181029" forceFullCalc="1"/>
  <fileRecoveryPr repairLoad="1"/>
</workbook>
</file>

<file path=xl/calcChain.xml><?xml version="1.0" encoding="utf-8"?>
<calcChain xmlns="http://schemas.openxmlformats.org/spreadsheetml/2006/main">
  <c r="F19" i="34" l="1"/>
  <c r="E19" i="34"/>
  <c r="D19" i="34"/>
  <c r="C19" i="34"/>
  <c r="B19" i="34"/>
  <c r="F17" i="34"/>
  <c r="E17" i="34"/>
  <c r="D17" i="34"/>
  <c r="C17" i="34"/>
  <c r="B17" i="34"/>
  <c r="F6" i="27"/>
  <c r="E6" i="27"/>
  <c r="D6" i="27"/>
  <c r="C6" i="27"/>
  <c r="C9" i="27" s="1"/>
  <c r="B6" i="27"/>
  <c r="B9" i="27" s="1"/>
  <c r="F5" i="27"/>
  <c r="E5" i="27"/>
  <c r="D5" i="27"/>
  <c r="C5" i="27"/>
  <c r="B5" i="27"/>
  <c r="F27" i="25"/>
  <c r="F68" i="3" s="1"/>
  <c r="E27" i="25"/>
  <c r="E68" i="3" s="1"/>
  <c r="D27" i="25"/>
  <c r="D68" i="3" s="1"/>
  <c r="C27" i="25"/>
  <c r="C68" i="3" s="1"/>
  <c r="B27" i="25"/>
  <c r="G30" i="20"/>
  <c r="F30" i="20"/>
  <c r="E30" i="20"/>
  <c r="D30" i="20"/>
  <c r="C30" i="20"/>
  <c r="G9" i="20"/>
  <c r="F9" i="20"/>
  <c r="E9" i="20"/>
  <c r="D9" i="20"/>
  <c r="C9" i="20"/>
  <c r="G23" i="19"/>
  <c r="F23" i="19"/>
  <c r="E23" i="19"/>
  <c r="D23" i="19"/>
  <c r="C23" i="19"/>
  <c r="G4" i="19"/>
  <c r="F4" i="19"/>
  <c r="E4" i="19"/>
  <c r="D4" i="19"/>
  <c r="C4" i="19"/>
  <c r="G16" i="18"/>
  <c r="F16" i="18"/>
  <c r="E16" i="18"/>
  <c r="D16" i="18"/>
  <c r="C16" i="18"/>
  <c r="C7" i="18"/>
  <c r="G4" i="18"/>
  <c r="F4" i="18"/>
  <c r="E4" i="18"/>
  <c r="D4" i="18"/>
  <c r="C4" i="18"/>
  <c r="G22" i="17"/>
  <c r="F22" i="17"/>
  <c r="E22" i="17"/>
  <c r="D22" i="17"/>
  <c r="C22" i="17"/>
  <c r="G4" i="17"/>
  <c r="F4" i="17"/>
  <c r="E4" i="17"/>
  <c r="D4" i="17"/>
  <c r="C4" i="17"/>
  <c r="G4" i="16"/>
  <c r="F4" i="16"/>
  <c r="E4" i="16"/>
  <c r="D4" i="16"/>
  <c r="C4" i="16"/>
  <c r="G4" i="15"/>
  <c r="F4" i="15"/>
  <c r="E4" i="15"/>
  <c r="D4" i="15"/>
  <c r="C4" i="15"/>
  <c r="G12" i="12"/>
  <c r="G11" i="12"/>
  <c r="G10" i="12"/>
  <c r="G9" i="12"/>
  <c r="G8" i="12"/>
  <c r="G7" i="12"/>
  <c r="G6" i="12"/>
  <c r="G5" i="12"/>
  <c r="F27" i="11"/>
  <c r="E27" i="11"/>
  <c r="D27" i="11"/>
  <c r="C27" i="11"/>
  <c r="B27" i="11"/>
  <c r="F24" i="11"/>
  <c r="E24" i="11"/>
  <c r="D24" i="11"/>
  <c r="C24" i="11"/>
  <c r="B24" i="11"/>
  <c r="F23" i="11"/>
  <c r="E23" i="11"/>
  <c r="D23" i="11"/>
  <c r="C23" i="11"/>
  <c r="B23" i="11"/>
  <c r="F20" i="11"/>
  <c r="E20" i="11"/>
  <c r="D20" i="11"/>
  <c r="C20" i="11"/>
  <c r="B20" i="11"/>
  <c r="F19" i="11"/>
  <c r="E19" i="11"/>
  <c r="D19" i="11"/>
  <c r="C19" i="11"/>
  <c r="B19" i="11"/>
  <c r="F15" i="11"/>
  <c r="E15" i="11"/>
  <c r="D15" i="11"/>
  <c r="C15" i="11"/>
  <c r="B15" i="11"/>
  <c r="F14" i="11"/>
  <c r="E14" i="11"/>
  <c r="D14" i="11"/>
  <c r="C14" i="11"/>
  <c r="B14" i="11"/>
  <c r="F11" i="11"/>
  <c r="E11" i="11"/>
  <c r="D11" i="11"/>
  <c r="C11" i="11"/>
  <c r="B11" i="11"/>
  <c r="F6" i="11"/>
  <c r="E6" i="11"/>
  <c r="D6" i="11"/>
  <c r="C6" i="11"/>
  <c r="B6" i="11"/>
  <c r="G13" i="10"/>
  <c r="G12" i="10"/>
  <c r="G11" i="10"/>
  <c r="G10" i="10"/>
  <c r="G9" i="10"/>
  <c r="G8" i="10"/>
  <c r="G7" i="10"/>
  <c r="G6" i="10"/>
  <c r="G5" i="10"/>
  <c r="F5" i="6"/>
  <c r="E5" i="6"/>
  <c r="D5" i="6"/>
  <c r="C5" i="6"/>
  <c r="B5" i="6"/>
  <c r="F4" i="6"/>
  <c r="E4" i="6"/>
  <c r="D4" i="6"/>
  <c r="C4" i="6"/>
  <c r="B4" i="6"/>
  <c r="BI42" i="5"/>
  <c r="BH42" i="5"/>
  <c r="BG42" i="5"/>
  <c r="BF42" i="5"/>
  <c r="BE42" i="5"/>
  <c r="BD42" i="5"/>
  <c r="BC42" i="5"/>
  <c r="BB42" i="5"/>
  <c r="BA42" i="5"/>
  <c r="AZ42" i="5"/>
  <c r="AY42" i="5"/>
  <c r="AX42" i="5"/>
  <c r="AW42" i="5"/>
  <c r="E30" i="6" s="1"/>
  <c r="AV42" i="5"/>
  <c r="AU42" i="5"/>
  <c r="AT42" i="5"/>
  <c r="AS42" i="5"/>
  <c r="AR42" i="5"/>
  <c r="AQ42" i="5"/>
  <c r="AP42" i="5"/>
  <c r="AO42" i="5"/>
  <c r="AN42" i="5"/>
  <c r="AM42" i="5"/>
  <c r="AL42" i="5"/>
  <c r="AK42" i="5"/>
  <c r="D30" i="6" s="1"/>
  <c r="AJ42" i="5"/>
  <c r="AI42" i="5"/>
  <c r="AH42" i="5"/>
  <c r="AG42" i="5"/>
  <c r="AF42" i="5"/>
  <c r="AE42" i="5"/>
  <c r="AD42" i="5"/>
  <c r="AC42" i="5"/>
  <c r="AB42" i="5"/>
  <c r="AA42" i="5"/>
  <c r="Z42" i="5"/>
  <c r="Y42" i="5"/>
  <c r="C30" i="6" s="1"/>
  <c r="X42" i="5"/>
  <c r="W42" i="5"/>
  <c r="V42" i="5"/>
  <c r="U42" i="5"/>
  <c r="T42" i="5"/>
  <c r="S42" i="5"/>
  <c r="R42" i="5"/>
  <c r="Q42" i="5"/>
  <c r="P42" i="5"/>
  <c r="O42" i="5"/>
  <c r="N42" i="5"/>
  <c r="M42" i="5"/>
  <c r="B30" i="6" s="1"/>
  <c r="L42" i="5"/>
  <c r="K42" i="5"/>
  <c r="J42" i="5"/>
  <c r="I42" i="5"/>
  <c r="H42" i="5"/>
  <c r="G42" i="5"/>
  <c r="F42" i="5"/>
  <c r="E42" i="5"/>
  <c r="D42" i="5"/>
  <c r="C42" i="5"/>
  <c r="B42" i="5"/>
  <c r="H12" i="5"/>
  <c r="AF8" i="5"/>
  <c r="BI7" i="5"/>
  <c r="BH7" i="5"/>
  <c r="BG7" i="5"/>
  <c r="BF7" i="5"/>
  <c r="BE7" i="5"/>
  <c r="BD7" i="5"/>
  <c r="BC7" i="5"/>
  <c r="BB7" i="5"/>
  <c r="BA7" i="5"/>
  <c r="AZ7" i="5"/>
  <c r="AY7" i="5"/>
  <c r="AX7" i="5"/>
  <c r="AW7" i="5"/>
  <c r="AV7" i="5"/>
  <c r="AU7" i="5"/>
  <c r="AT7" i="5"/>
  <c r="AS7" i="5"/>
  <c r="AR7" i="5"/>
  <c r="AQ7" i="5"/>
  <c r="AP7" i="5"/>
  <c r="AO7" i="5"/>
  <c r="AN7" i="5"/>
  <c r="AM7" i="5"/>
  <c r="AL7" i="5"/>
  <c r="AK7" i="5"/>
  <c r="AJ7" i="5"/>
  <c r="AI7" i="5"/>
  <c r="AH7" i="5"/>
  <c r="AG7" i="5"/>
  <c r="AF7" i="5"/>
  <c r="AE7" i="5"/>
  <c r="AD7" i="5"/>
  <c r="AC7" i="5"/>
  <c r="AB7" i="5"/>
  <c r="AA7" i="5"/>
  <c r="Z7" i="5"/>
  <c r="Y7" i="5"/>
  <c r="X7" i="5"/>
  <c r="W7" i="5"/>
  <c r="V7" i="5"/>
  <c r="U7" i="5"/>
  <c r="T7" i="5"/>
  <c r="S7" i="5"/>
  <c r="R7" i="5"/>
  <c r="Q7" i="5"/>
  <c r="P7" i="5"/>
  <c r="O7" i="5"/>
  <c r="N7" i="5"/>
  <c r="M7" i="5"/>
  <c r="M15" i="5" s="1"/>
  <c r="L7" i="5"/>
  <c r="L15" i="5" s="1"/>
  <c r="K7" i="5"/>
  <c r="K15" i="5" s="1"/>
  <c r="J7" i="5"/>
  <c r="J15" i="5" s="1"/>
  <c r="I7" i="5"/>
  <c r="I15" i="5" s="1"/>
  <c r="H7" i="5"/>
  <c r="H15" i="5" s="1"/>
  <c r="G7" i="5"/>
  <c r="G15" i="5" s="1"/>
  <c r="F7" i="5"/>
  <c r="F15" i="5" s="1"/>
  <c r="E7" i="5"/>
  <c r="E15" i="5" s="1"/>
  <c r="D7" i="5"/>
  <c r="D15" i="5" s="1"/>
  <c r="C7" i="5"/>
  <c r="C15" i="5" s="1"/>
  <c r="B7" i="5"/>
  <c r="B15" i="5" s="1"/>
  <c r="BI6" i="5"/>
  <c r="BH6" i="5"/>
  <c r="BG6" i="5"/>
  <c r="BF6" i="5"/>
  <c r="BE6" i="5"/>
  <c r="BD6" i="5"/>
  <c r="BC6" i="5"/>
  <c r="BB6" i="5"/>
  <c r="BA6" i="5"/>
  <c r="AZ6" i="5"/>
  <c r="AY6" i="5"/>
  <c r="AX6" i="5"/>
  <c r="AW6" i="5"/>
  <c r="AV6" i="5"/>
  <c r="AU6" i="5"/>
  <c r="AT6" i="5"/>
  <c r="AS6" i="5"/>
  <c r="AR6" i="5"/>
  <c r="AQ6" i="5"/>
  <c r="AP6" i="5"/>
  <c r="AO6" i="5"/>
  <c r="AN6" i="5"/>
  <c r="AM6" i="5"/>
  <c r="AL6" i="5"/>
  <c r="AK6" i="5"/>
  <c r="AJ6" i="5"/>
  <c r="AI6" i="5"/>
  <c r="AH6" i="5"/>
  <c r="AG6" i="5"/>
  <c r="AF6" i="5"/>
  <c r="AE6" i="5"/>
  <c r="AD6" i="5"/>
  <c r="AC6" i="5"/>
  <c r="AB6" i="5"/>
  <c r="AA6" i="5"/>
  <c r="Z6" i="5"/>
  <c r="Y6" i="5"/>
  <c r="X6" i="5"/>
  <c r="W6" i="5"/>
  <c r="V6" i="5"/>
  <c r="U6" i="5"/>
  <c r="T6" i="5"/>
  <c r="S6" i="5"/>
  <c r="R6" i="5"/>
  <c r="Q6" i="5"/>
  <c r="P6" i="5"/>
  <c r="O6" i="5"/>
  <c r="N6" i="5"/>
  <c r="M6" i="5"/>
  <c r="L6" i="5"/>
  <c r="K6" i="5"/>
  <c r="J6" i="5"/>
  <c r="I6" i="5"/>
  <c r="H6" i="5"/>
  <c r="G6" i="5"/>
  <c r="F6" i="5"/>
  <c r="E6" i="5"/>
  <c r="D6" i="5"/>
  <c r="C6" i="5"/>
  <c r="B6" i="5"/>
  <c r="BI5" i="5"/>
  <c r="BH5" i="5"/>
  <c r="BG5" i="5"/>
  <c r="BF5" i="5"/>
  <c r="BF12" i="5" s="1"/>
  <c r="BE5" i="5"/>
  <c r="BE10" i="5" s="1"/>
  <c r="BD5" i="5"/>
  <c r="BD23" i="5" s="1"/>
  <c r="BC5" i="5"/>
  <c r="BC23" i="5" s="1"/>
  <c r="BB5" i="5"/>
  <c r="BB21" i="5" s="1"/>
  <c r="BA5" i="5"/>
  <c r="BA23" i="5" s="1"/>
  <c r="AZ5" i="5"/>
  <c r="AZ21" i="5" s="1"/>
  <c r="AY5" i="5"/>
  <c r="AY21" i="5" s="1"/>
  <c r="AX5" i="5"/>
  <c r="AW5" i="5"/>
  <c r="AV5" i="5"/>
  <c r="AU5" i="5"/>
  <c r="AT5" i="5"/>
  <c r="AT20" i="5" s="1"/>
  <c r="AS5" i="5"/>
  <c r="AS8" i="5" s="1"/>
  <c r="AS28" i="5" s="1"/>
  <c r="AR5" i="5"/>
  <c r="AR21" i="5" s="1"/>
  <c r="AQ5" i="5"/>
  <c r="AQ20" i="5" s="1"/>
  <c r="AP5" i="5"/>
  <c r="AP20" i="5" s="1"/>
  <c r="AO5" i="5"/>
  <c r="AO23" i="5" s="1"/>
  <c r="AN5" i="5"/>
  <c r="AN20" i="5" s="1"/>
  <c r="AM5" i="5"/>
  <c r="AL5" i="5"/>
  <c r="AK5" i="5"/>
  <c r="AJ5" i="5"/>
  <c r="AJ21" i="5" s="1"/>
  <c r="AI5" i="5"/>
  <c r="AI12" i="5" s="1"/>
  <c r="AH5" i="5"/>
  <c r="AH21" i="5" s="1"/>
  <c r="AG5" i="5"/>
  <c r="AG8" i="5" s="1"/>
  <c r="AF5" i="5"/>
  <c r="AF12" i="5" s="1"/>
  <c r="AE5" i="5"/>
  <c r="AE8" i="5" s="1"/>
  <c r="AD5" i="5"/>
  <c r="AD21" i="5" s="1"/>
  <c r="AC5" i="5"/>
  <c r="AB5" i="5"/>
  <c r="AA5" i="5"/>
  <c r="Z5" i="5"/>
  <c r="Z21" i="5" s="1"/>
  <c r="Y5" i="5"/>
  <c r="Y21" i="5" s="1"/>
  <c r="X5" i="5"/>
  <c r="X12" i="5" s="1"/>
  <c r="W5" i="5"/>
  <c r="W12" i="5" s="1"/>
  <c r="V5" i="5"/>
  <c r="V12" i="5" s="1"/>
  <c r="U5" i="5"/>
  <c r="U20" i="5" s="1"/>
  <c r="T5" i="5"/>
  <c r="T8" i="5" s="1"/>
  <c r="S5" i="5"/>
  <c r="S8" i="5" s="1"/>
  <c r="R5" i="5"/>
  <c r="R12" i="5" s="1"/>
  <c r="Q5" i="5"/>
  <c r="Q23" i="5" s="1"/>
  <c r="P5" i="5"/>
  <c r="P18" i="5" s="1"/>
  <c r="O5" i="5"/>
  <c r="O18" i="5" s="1"/>
  <c r="N5" i="5"/>
  <c r="N20" i="5" s="1"/>
  <c r="M5" i="5"/>
  <c r="M20" i="5" s="1"/>
  <c r="L5" i="5"/>
  <c r="L8" i="5" s="1"/>
  <c r="K5" i="5"/>
  <c r="K21" i="5" s="1"/>
  <c r="J5" i="5"/>
  <c r="J10" i="5" s="1"/>
  <c r="I5" i="5"/>
  <c r="H5" i="5"/>
  <c r="H8" i="5" s="1"/>
  <c r="G5" i="5"/>
  <c r="F5" i="5"/>
  <c r="F8" i="5" s="1"/>
  <c r="E5" i="5"/>
  <c r="E10" i="5" s="1"/>
  <c r="D5" i="5"/>
  <c r="D20" i="5" s="1"/>
  <c r="C5" i="5"/>
  <c r="C21" i="5" s="1"/>
  <c r="B5" i="5"/>
  <c r="B21" i="5" s="1"/>
  <c r="B14" i="4"/>
  <c r="F11" i="4"/>
  <c r="E11" i="4"/>
  <c r="D11" i="4"/>
  <c r="C11" i="4"/>
  <c r="B11" i="4"/>
  <c r="F8" i="4"/>
  <c r="E8" i="4"/>
  <c r="D8" i="4"/>
  <c r="C8" i="4"/>
  <c r="B8" i="4"/>
  <c r="F7" i="4"/>
  <c r="E7" i="4"/>
  <c r="D7" i="4"/>
  <c r="C7" i="4"/>
  <c r="B7" i="4"/>
  <c r="F4" i="4"/>
  <c r="F5" i="4" s="1"/>
  <c r="E4" i="4"/>
  <c r="E5" i="4" s="1"/>
  <c r="D4" i="4"/>
  <c r="D5" i="4" s="1"/>
  <c r="D6" i="4" s="1"/>
  <c r="C4" i="4"/>
  <c r="C5" i="4" s="1"/>
  <c r="C6" i="4" s="1"/>
  <c r="B4" i="4"/>
  <c r="B5" i="4" s="1"/>
  <c r="B6" i="4" s="1"/>
  <c r="B68" i="3"/>
  <c r="D31" i="5" s="1"/>
  <c r="E30" i="2"/>
  <c r="E29" i="2"/>
  <c r="E28" i="2"/>
  <c r="E27" i="2"/>
  <c r="E20" i="2"/>
  <c r="E19" i="2"/>
  <c r="E18" i="2"/>
  <c r="E17" i="2"/>
  <c r="E16" i="2"/>
  <c r="E15" i="2"/>
  <c r="E14" i="2"/>
  <c r="E13" i="2"/>
  <c r="E12" i="2"/>
  <c r="E11" i="2"/>
  <c r="E10" i="2"/>
  <c r="E9" i="2"/>
  <c r="E8" i="2"/>
  <c r="E7" i="2"/>
  <c r="E6" i="2"/>
  <c r="E5" i="2"/>
  <c r="AS12" i="5" l="1"/>
  <c r="AZ8" i="5"/>
  <c r="L10" i="5"/>
  <c r="AI15" i="5"/>
  <c r="AI8" i="5"/>
  <c r="AI13" i="5" s="1"/>
  <c r="AI16" i="5" s="1"/>
  <c r="AS15" i="5"/>
  <c r="AJ20" i="5"/>
  <c r="X15" i="5"/>
  <c r="Y15" i="5"/>
  <c r="BB12" i="5"/>
  <c r="AT10" i="5"/>
  <c r="AS18" i="5"/>
  <c r="E12" i="5"/>
  <c r="X20" i="5"/>
  <c r="N15" i="5"/>
  <c r="AH15" i="5"/>
  <c r="AR15" i="5"/>
  <c r="O21" i="5"/>
  <c r="Y20" i="5"/>
  <c r="BB15" i="5"/>
  <c r="AI10" i="5"/>
  <c r="AH23" i="5"/>
  <c r="BC15" i="5"/>
  <c r="AJ10" i="5"/>
  <c r="Z18" i="5"/>
  <c r="AP23" i="5"/>
  <c r="AH31" i="5"/>
  <c r="BD15" i="5"/>
  <c r="F10" i="5"/>
  <c r="P21" i="5"/>
  <c r="AI21" i="5"/>
  <c r="AN15" i="5"/>
  <c r="AS10" i="5"/>
  <c r="AS11" i="5" s="1"/>
  <c r="AH18" i="5"/>
  <c r="BB23" i="5"/>
  <c r="AD15" i="5"/>
  <c r="U15" i="5"/>
  <c r="Y8" i="5"/>
  <c r="W10" i="5"/>
  <c r="AH12" i="5"/>
  <c r="E18" i="5"/>
  <c r="F20" i="5"/>
  <c r="BC20" i="5"/>
  <c r="D23" i="5"/>
  <c r="AD8" i="5"/>
  <c r="AD30" i="5" s="1"/>
  <c r="BD8" i="5"/>
  <c r="BD9" i="5" s="1"/>
  <c r="BD29" i="5" s="1"/>
  <c r="Z10" i="5"/>
  <c r="D12" i="5"/>
  <c r="AR12" i="5"/>
  <c r="V18" i="5"/>
  <c r="W20" i="5"/>
  <c r="N21" i="5"/>
  <c r="P23" i="5"/>
  <c r="V15" i="5"/>
  <c r="AF15" i="5"/>
  <c r="AP15" i="5"/>
  <c r="AZ15" i="5"/>
  <c r="E8" i="5"/>
  <c r="E28" i="5" s="1"/>
  <c r="AJ8" i="5"/>
  <c r="AJ11" i="5" s="1"/>
  <c r="AQ10" i="5"/>
  <c r="N12" i="5"/>
  <c r="BC12" i="5"/>
  <c r="AN18" i="5"/>
  <c r="AH20" i="5"/>
  <c r="X21" i="5"/>
  <c r="AR23" i="5"/>
  <c r="T15" i="5"/>
  <c r="AG15" i="5"/>
  <c r="AO8" i="5"/>
  <c r="AO30" i="5" s="1"/>
  <c r="AE15" i="5"/>
  <c r="AY15" i="5"/>
  <c r="BI15" i="5"/>
  <c r="BB18" i="5"/>
  <c r="AO20" i="5"/>
  <c r="X31" i="5"/>
  <c r="AR31" i="5"/>
  <c r="O8" i="5"/>
  <c r="O28" i="5" s="1"/>
  <c r="O10" i="5"/>
  <c r="BC10" i="5"/>
  <c r="Y12" i="5"/>
  <c r="BC18" i="5"/>
  <c r="AR20" i="5"/>
  <c r="BA21" i="5"/>
  <c r="B8" i="27"/>
  <c r="J8" i="5"/>
  <c r="J28" i="5" s="1"/>
  <c r="AQ8" i="5"/>
  <c r="AT15" i="5"/>
  <c r="U8" i="5"/>
  <c r="U9" i="5" s="1"/>
  <c r="U29" i="5" s="1"/>
  <c r="AT8" i="5"/>
  <c r="AT9" i="5" s="1"/>
  <c r="AT29" i="5" s="1"/>
  <c r="P10" i="5"/>
  <c r="BD10" i="5"/>
  <c r="AG12" i="5"/>
  <c r="BD18" i="5"/>
  <c r="BB20" i="5"/>
  <c r="C8" i="27"/>
  <c r="W15" i="5"/>
  <c r="AQ15" i="5"/>
  <c r="U12" i="5"/>
  <c r="B11" i="27"/>
  <c r="Z8" i="5"/>
  <c r="Z28" i="5" s="1"/>
  <c r="BC8" i="5"/>
  <c r="BC28" i="5" s="1"/>
  <c r="Y10" i="5"/>
  <c r="F18" i="5"/>
  <c r="BD20" i="5"/>
  <c r="O23" i="5"/>
  <c r="C11" i="27"/>
  <c r="S30" i="5"/>
  <c r="S28" i="5"/>
  <c r="E9" i="4"/>
  <c r="E10" i="4" s="1"/>
  <c r="E13" i="4"/>
  <c r="E14" i="4"/>
  <c r="T30" i="5"/>
  <c r="T9" i="5"/>
  <c r="T29" i="5" s="1"/>
  <c r="T28" i="5"/>
  <c r="D14" i="4"/>
  <c r="AG30" i="5"/>
  <c r="AG13" i="5"/>
  <c r="AG28" i="5"/>
  <c r="AG9" i="5"/>
  <c r="AG29" i="5" s="1"/>
  <c r="H30" i="5"/>
  <c r="H28" i="5"/>
  <c r="H13" i="5"/>
  <c r="J30" i="5"/>
  <c r="AO28" i="5"/>
  <c r="F13" i="4"/>
  <c r="F6" i="4"/>
  <c r="F14" i="4"/>
  <c r="AE30" i="5"/>
  <c r="AE28" i="5"/>
  <c r="AF30" i="5"/>
  <c r="AF13" i="5"/>
  <c r="AF28" i="5"/>
  <c r="AF9" i="5"/>
  <c r="AF29" i="5" s="1"/>
  <c r="B9" i="4"/>
  <c r="B10" i="4" s="1"/>
  <c r="B13" i="4"/>
  <c r="E6" i="4"/>
  <c r="AQ28" i="5"/>
  <c r="AQ30" i="5"/>
  <c r="L28" i="5"/>
  <c r="L11" i="5"/>
  <c r="L30" i="5"/>
  <c r="C9" i="4"/>
  <c r="C10" i="4" s="1"/>
  <c r="C13" i="4"/>
  <c r="C14" i="4"/>
  <c r="F9" i="4"/>
  <c r="F10" i="4" s="1"/>
  <c r="F30" i="5"/>
  <c r="F28" i="5"/>
  <c r="F11" i="5"/>
  <c r="G31" i="5"/>
  <c r="G23" i="5"/>
  <c r="G8" i="5"/>
  <c r="H9" i="5" s="1"/>
  <c r="H29" i="5" s="1"/>
  <c r="G21" i="5"/>
  <c r="G10" i="5"/>
  <c r="G20" i="5"/>
  <c r="G18" i="5"/>
  <c r="G12" i="5"/>
  <c r="AA20" i="5"/>
  <c r="AA21" i="5"/>
  <c r="AA18" i="5"/>
  <c r="AA12" i="5"/>
  <c r="AA8" i="5"/>
  <c r="AA23" i="5"/>
  <c r="AA10" i="5"/>
  <c r="AA31" i="5"/>
  <c r="AU31" i="5"/>
  <c r="AU23" i="5"/>
  <c r="AU18" i="5"/>
  <c r="AU21" i="5"/>
  <c r="AU20" i="5"/>
  <c r="AU8" i="5"/>
  <c r="AU12" i="5"/>
  <c r="AU10" i="5"/>
  <c r="Q15" i="5"/>
  <c r="AA15" i="5"/>
  <c r="AK15" i="5"/>
  <c r="AU15" i="5"/>
  <c r="BE15" i="5"/>
  <c r="U30" i="5"/>
  <c r="U32" i="5" s="1"/>
  <c r="U28" i="5"/>
  <c r="D13" i="4"/>
  <c r="D9" i="4"/>
  <c r="D10" i="4" s="1"/>
  <c r="Q31" i="5"/>
  <c r="Q21" i="5"/>
  <c r="Q18" i="5"/>
  <c r="Q20" i="5"/>
  <c r="Q12" i="5"/>
  <c r="Q10" i="5"/>
  <c r="Q8" i="5"/>
  <c r="BE23" i="5"/>
  <c r="BE18" i="5"/>
  <c r="BE31" i="5"/>
  <c r="BE21" i="5"/>
  <c r="BE8" i="5"/>
  <c r="BE20" i="5"/>
  <c r="BE12" i="5"/>
  <c r="AZ30" i="5"/>
  <c r="AZ28" i="5"/>
  <c r="AK20" i="5"/>
  <c r="AK31" i="5"/>
  <c r="AK23" i="5"/>
  <c r="AK8" i="5"/>
  <c r="AK12" i="5"/>
  <c r="AK10" i="5"/>
  <c r="AK21" i="5"/>
  <c r="AK18" i="5"/>
  <c r="I23" i="5"/>
  <c r="I20" i="5"/>
  <c r="I12" i="5"/>
  <c r="I10" i="5"/>
  <c r="I21" i="5"/>
  <c r="I31" i="5"/>
  <c r="I18" i="5"/>
  <c r="I8" i="5"/>
  <c r="S31" i="5"/>
  <c r="S23" i="5"/>
  <c r="S20" i="5"/>
  <c r="S21" i="5"/>
  <c r="S18" i="5"/>
  <c r="S10" i="5"/>
  <c r="S11" i="5" s="1"/>
  <c r="S12" i="5"/>
  <c r="S13" i="5" s="1"/>
  <c r="AC31" i="5"/>
  <c r="AC21" i="5"/>
  <c r="AC12" i="5"/>
  <c r="AC8" i="5"/>
  <c r="AD9" i="5" s="1"/>
  <c r="AD29" i="5" s="1"/>
  <c r="AC10" i="5"/>
  <c r="AC23" i="5"/>
  <c r="AC20" i="5"/>
  <c r="AC18" i="5"/>
  <c r="AM20" i="5"/>
  <c r="AM23" i="5"/>
  <c r="AM8" i="5"/>
  <c r="AM12" i="5"/>
  <c r="AM10" i="5"/>
  <c r="AM21" i="5"/>
  <c r="AM31" i="5"/>
  <c r="AM18" i="5"/>
  <c r="AW20" i="5"/>
  <c r="AW31" i="5"/>
  <c r="AW23" i="5"/>
  <c r="AW21" i="5"/>
  <c r="AW8" i="5"/>
  <c r="AW18" i="5"/>
  <c r="AW12" i="5"/>
  <c r="AW10" i="5"/>
  <c r="BG23" i="5"/>
  <c r="BG18" i="5"/>
  <c r="BG20" i="5"/>
  <c r="BG31" i="5"/>
  <c r="BG8" i="5"/>
  <c r="BG21" i="5"/>
  <c r="BG10" i="5"/>
  <c r="BG12" i="5"/>
  <c r="S15" i="5"/>
  <c r="AC15" i="5"/>
  <c r="AM15" i="5"/>
  <c r="AW15" i="5"/>
  <c r="BG15" i="5"/>
  <c r="U10" i="5"/>
  <c r="U11" i="5" s="1"/>
  <c r="AF10" i="5"/>
  <c r="AF11" i="5" s="1"/>
  <c r="AD12" i="5"/>
  <c r="AQ12" i="5"/>
  <c r="AQ13" i="5" s="1"/>
  <c r="T18" i="5"/>
  <c r="BA18" i="5"/>
  <c r="T20" i="5"/>
  <c r="M21" i="5"/>
  <c r="AN23" i="5"/>
  <c r="H23" i="5"/>
  <c r="H21" i="5"/>
  <c r="H20" i="5"/>
  <c r="H18" i="5"/>
  <c r="H31" i="5"/>
  <c r="R23" i="5"/>
  <c r="R21" i="5"/>
  <c r="R20" i="5"/>
  <c r="R18" i="5"/>
  <c r="R31" i="5"/>
  <c r="AB23" i="5"/>
  <c r="AB21" i="5"/>
  <c r="AB20" i="5"/>
  <c r="AB18" i="5"/>
  <c r="AB31" i="5"/>
  <c r="AL23" i="5"/>
  <c r="AL21" i="5"/>
  <c r="AL20" i="5"/>
  <c r="AL18" i="5"/>
  <c r="AL31" i="5"/>
  <c r="AV23" i="5"/>
  <c r="AV21" i="5"/>
  <c r="AV20" i="5"/>
  <c r="AV18" i="5"/>
  <c r="AV31" i="5"/>
  <c r="BF31" i="5"/>
  <c r="BF23" i="5"/>
  <c r="BF21" i="5"/>
  <c r="BF20" i="5"/>
  <c r="BF18" i="5"/>
  <c r="R15" i="5"/>
  <c r="AB15" i="5"/>
  <c r="AL15" i="5"/>
  <c r="AV15" i="5"/>
  <c r="BF15" i="5"/>
  <c r="AP8" i="5"/>
  <c r="AQ9" i="5" s="1"/>
  <c r="AQ29" i="5" s="1"/>
  <c r="BA8" i="5"/>
  <c r="K10" i="5"/>
  <c r="V10" i="5"/>
  <c r="AG10" i="5"/>
  <c r="AG11" i="5" s="1"/>
  <c r="U18" i="5"/>
  <c r="B20" i="5"/>
  <c r="Z31" i="5"/>
  <c r="J31" i="5"/>
  <c r="J23" i="5"/>
  <c r="T31" i="5"/>
  <c r="T12" i="5"/>
  <c r="T13" i="5" s="1"/>
  <c r="AD31" i="5"/>
  <c r="AN31" i="5"/>
  <c r="AX31" i="5"/>
  <c r="AX20" i="5"/>
  <c r="AX23" i="5"/>
  <c r="BH31" i="5"/>
  <c r="BH20" i="5"/>
  <c r="BH21" i="5"/>
  <c r="BH18" i="5"/>
  <c r="AX15" i="5"/>
  <c r="BH15" i="5"/>
  <c r="K8" i="5"/>
  <c r="L9" i="5" s="1"/>
  <c r="L29" i="5" s="1"/>
  <c r="V8" i="5"/>
  <c r="AS13" i="5"/>
  <c r="B10" i="5"/>
  <c r="M10" i="5"/>
  <c r="BF10" i="5"/>
  <c r="J12" i="5"/>
  <c r="W18" i="5"/>
  <c r="AP18" i="5"/>
  <c r="T23" i="5"/>
  <c r="AQ23" i="5"/>
  <c r="AS30" i="5"/>
  <c r="U23" i="5"/>
  <c r="U31" i="5"/>
  <c r="AE31" i="5"/>
  <c r="AE21" i="5"/>
  <c r="AE18" i="5"/>
  <c r="AE12" i="5"/>
  <c r="AE13" i="5" s="1"/>
  <c r="AO21" i="5"/>
  <c r="AO18" i="5"/>
  <c r="AY23" i="5"/>
  <c r="AY20" i="5"/>
  <c r="AY31" i="5"/>
  <c r="BI20" i="5"/>
  <c r="BI23" i="5"/>
  <c r="BI31" i="5"/>
  <c r="BI21" i="5"/>
  <c r="AO15" i="5"/>
  <c r="W8" i="5"/>
  <c r="AI28" i="5"/>
  <c r="AT30" i="5"/>
  <c r="C10" i="5"/>
  <c r="AV10" i="5"/>
  <c r="K12" i="5"/>
  <c r="AV12" i="5"/>
  <c r="BH12" i="5"/>
  <c r="AQ18" i="5"/>
  <c r="BI18" i="5"/>
  <c r="J20" i="5"/>
  <c r="T21" i="5"/>
  <c r="Z23" i="5"/>
  <c r="AO31" i="5"/>
  <c r="B23" i="5"/>
  <c r="B18" i="5"/>
  <c r="B31" i="5"/>
  <c r="L21" i="5"/>
  <c r="L18" i="5"/>
  <c r="V21" i="5"/>
  <c r="V31" i="5"/>
  <c r="V23" i="5"/>
  <c r="V20" i="5"/>
  <c r="AF23" i="5"/>
  <c r="AF20" i="5"/>
  <c r="AF31" i="5"/>
  <c r="AF21" i="5"/>
  <c r="AP31" i="5"/>
  <c r="AP12" i="5"/>
  <c r="AZ31" i="5"/>
  <c r="AZ23" i="5"/>
  <c r="B8" i="5"/>
  <c r="M8" i="5"/>
  <c r="C6" i="6"/>
  <c r="C4" i="7" s="1"/>
  <c r="Y28" i="5"/>
  <c r="AJ30" i="5"/>
  <c r="BF8" i="5"/>
  <c r="AL10" i="5"/>
  <c r="BH10" i="5"/>
  <c r="L12" i="5"/>
  <c r="L13" i="5" s="1"/>
  <c r="BI12" i="5"/>
  <c r="J18" i="5"/>
  <c r="K20" i="5"/>
  <c r="U21" i="5"/>
  <c r="AN21" i="5"/>
  <c r="BD31" i="5"/>
  <c r="AQ31" i="5"/>
  <c r="Z11" i="5"/>
  <c r="AV8" i="5"/>
  <c r="AB10" i="5"/>
  <c r="AX12" i="5"/>
  <c r="K18" i="5"/>
  <c r="AD18" i="5"/>
  <c r="L20" i="5"/>
  <c r="AD20" i="5"/>
  <c r="F21" i="5"/>
  <c r="AP21" i="5"/>
  <c r="E24" i="16"/>
  <c r="E8" i="18"/>
  <c r="E21" i="17"/>
  <c r="E23" i="17" s="1"/>
  <c r="E9" i="18"/>
  <c r="F7" i="18" s="1"/>
  <c r="D26" i="11"/>
  <c r="D28" i="11" s="1"/>
  <c r="C31" i="5"/>
  <c r="C23" i="5"/>
  <c r="C18" i="5"/>
  <c r="C20" i="5"/>
  <c r="AG21" i="5"/>
  <c r="AG23" i="5"/>
  <c r="AG31" i="5"/>
  <c r="BA15" i="5"/>
  <c r="C8" i="5"/>
  <c r="BI10" i="5"/>
  <c r="AL12" i="5"/>
  <c r="P8" i="5"/>
  <c r="AL8" i="5"/>
  <c r="BH8" i="5"/>
  <c r="R10" i="5"/>
  <c r="AN10" i="5"/>
  <c r="AY10" i="5"/>
  <c r="Y11" i="5"/>
  <c r="B12" i="5"/>
  <c r="AY12" i="5"/>
  <c r="AF18" i="5"/>
  <c r="AX18" i="5"/>
  <c r="AE20" i="5"/>
  <c r="AQ21" i="5"/>
  <c r="F23" i="5"/>
  <c r="AD23" i="5"/>
  <c r="Y30" i="5"/>
  <c r="E20" i="5"/>
  <c r="E31" i="5"/>
  <c r="E23" i="5"/>
  <c r="E21" i="5"/>
  <c r="O20" i="5"/>
  <c r="O31" i="5"/>
  <c r="Y31" i="5"/>
  <c r="Y23" i="5"/>
  <c r="Y18" i="5"/>
  <c r="AI23" i="5"/>
  <c r="AI18" i="5"/>
  <c r="AI20" i="5"/>
  <c r="AI31" i="5"/>
  <c r="AS21" i="5"/>
  <c r="AS23" i="5"/>
  <c r="AS20" i="5"/>
  <c r="AS31" i="5"/>
  <c r="BC31" i="5"/>
  <c r="BC21" i="5"/>
  <c r="O15" i="5"/>
  <c r="AB8" i="5"/>
  <c r="AX8" i="5"/>
  <c r="BI8" i="5"/>
  <c r="H10" i="5"/>
  <c r="H11" i="5" s="1"/>
  <c r="AD10" i="5"/>
  <c r="AD11" i="5" s="1"/>
  <c r="AO10" i="5"/>
  <c r="AO11" i="5" s="1"/>
  <c r="AZ10" i="5"/>
  <c r="AZ11" i="5" s="1"/>
  <c r="C12" i="5"/>
  <c r="O12" i="5"/>
  <c r="AB12" i="5"/>
  <c r="AN12" i="5"/>
  <c r="AZ12" i="5"/>
  <c r="AZ13" i="5" s="1"/>
  <c r="E13" i="5"/>
  <c r="AG18" i="5"/>
  <c r="AY18" i="5"/>
  <c r="AG20" i="5"/>
  <c r="AZ20" i="5"/>
  <c r="K23" i="5"/>
  <c r="AE23" i="5"/>
  <c r="K31" i="5"/>
  <c r="M23" i="5"/>
  <c r="M18" i="5"/>
  <c r="M31" i="5"/>
  <c r="W21" i="5"/>
  <c r="W31" i="5"/>
  <c r="W23" i="5"/>
  <c r="BA12" i="5"/>
  <c r="BA31" i="5"/>
  <c r="O30" i="5"/>
  <c r="AX10" i="5"/>
  <c r="M12" i="5"/>
  <c r="F31" i="5"/>
  <c r="F12" i="5"/>
  <c r="F13" i="5" s="1"/>
  <c r="P20" i="5"/>
  <c r="P12" i="5"/>
  <c r="P31" i="5"/>
  <c r="Z20" i="5"/>
  <c r="Z12" i="5"/>
  <c r="Z13" i="5" s="1"/>
  <c r="AJ31" i="5"/>
  <c r="AJ23" i="5"/>
  <c r="AJ18" i="5"/>
  <c r="AJ12" i="5"/>
  <c r="AT23" i="5"/>
  <c r="AT18" i="5"/>
  <c r="AT12" i="5"/>
  <c r="AT13" i="5" s="1"/>
  <c r="AT21" i="5"/>
  <c r="AT31" i="5"/>
  <c r="BD21" i="5"/>
  <c r="BD12" i="5"/>
  <c r="P15" i="5"/>
  <c r="Z15" i="5"/>
  <c r="AJ15" i="5"/>
  <c r="R8" i="5"/>
  <c r="S9" i="5" s="1"/>
  <c r="S29" i="5" s="1"/>
  <c r="AN8" i="5"/>
  <c r="AY8" i="5"/>
  <c r="AJ9" i="5"/>
  <c r="AJ29" i="5" s="1"/>
  <c r="T10" i="5"/>
  <c r="T11" i="5" s="1"/>
  <c r="AE10" i="5"/>
  <c r="AE11" i="5" s="1"/>
  <c r="AP10" i="5"/>
  <c r="BA10" i="5"/>
  <c r="AO12" i="5"/>
  <c r="AO13" i="5" s="1"/>
  <c r="AZ18" i="5"/>
  <c r="BA20" i="5"/>
  <c r="J21" i="5"/>
  <c r="AX21" i="5"/>
  <c r="L23" i="5"/>
  <c r="BH23" i="5"/>
  <c r="L31" i="5"/>
  <c r="N31" i="5"/>
  <c r="N23" i="5"/>
  <c r="N18" i="5"/>
  <c r="X23" i="5"/>
  <c r="X18" i="5"/>
  <c r="BB31" i="5"/>
  <c r="D8" i="5"/>
  <c r="N8" i="5"/>
  <c r="X8" i="5"/>
  <c r="AH8" i="5"/>
  <c r="AI9" i="5" s="1"/>
  <c r="AI29" i="5" s="1"/>
  <c r="AR8" i="5"/>
  <c r="BB8" i="5"/>
  <c r="BC9" i="5" s="1"/>
  <c r="BC29" i="5" s="1"/>
  <c r="D10" i="5"/>
  <c r="N10" i="5"/>
  <c r="X10" i="5"/>
  <c r="AH10" i="5"/>
  <c r="AR10" i="5"/>
  <c r="BB10" i="5"/>
  <c r="D18" i="5"/>
  <c r="AR18" i="5"/>
  <c r="D21" i="5"/>
  <c r="F30" i="6"/>
  <c r="D9" i="18"/>
  <c r="E7" i="18" s="1"/>
  <c r="D24" i="16"/>
  <c r="C26" i="11"/>
  <c r="C28" i="11" s="1"/>
  <c r="D8" i="18"/>
  <c r="D21" i="17"/>
  <c r="D23" i="17" s="1"/>
  <c r="C24" i="16"/>
  <c r="C9" i="18"/>
  <c r="D7" i="18" s="1"/>
  <c r="B26" i="11"/>
  <c r="B28" i="11" s="1"/>
  <c r="C8" i="18"/>
  <c r="C21" i="17"/>
  <c r="C23" i="17" s="1"/>
  <c r="F21" i="17"/>
  <c r="F23" i="17" s="1"/>
  <c r="F9" i="18"/>
  <c r="G7" i="18" s="1"/>
  <c r="F8" i="18"/>
  <c r="F24" i="16"/>
  <c r="E26" i="11"/>
  <c r="E28" i="11" s="1"/>
  <c r="D11" i="27"/>
  <c r="D8" i="27"/>
  <c r="D9" i="27"/>
  <c r="E11" i="27"/>
  <c r="E8" i="27"/>
  <c r="F11" i="27"/>
  <c r="F8" i="27"/>
  <c r="E9" i="27"/>
  <c r="F9" i="27"/>
  <c r="BC13" i="5" l="1"/>
  <c r="BD28" i="5"/>
  <c r="AO9" i="5"/>
  <c r="AO29" i="5" s="1"/>
  <c r="AJ13" i="5"/>
  <c r="AJ22" i="5" s="1"/>
  <c r="Z30" i="5"/>
  <c r="Z32" i="5" s="1"/>
  <c r="Z33" i="5" s="1"/>
  <c r="O13" i="5"/>
  <c r="O22" i="5" s="1"/>
  <c r="U33" i="5"/>
  <c r="BC30" i="5"/>
  <c r="BD11" i="5"/>
  <c r="E11" i="5"/>
  <c r="BD13" i="5"/>
  <c r="BD14" i="5" s="1"/>
  <c r="BD30" i="5"/>
  <c r="BD32" i="5" s="1"/>
  <c r="BD33" i="5" s="1"/>
  <c r="AJ28" i="5"/>
  <c r="AT28" i="5"/>
  <c r="AT11" i="5"/>
  <c r="AI22" i="5"/>
  <c r="AI11" i="5"/>
  <c r="AI14" i="5"/>
  <c r="AI30" i="5"/>
  <c r="AJ32" i="5" s="1"/>
  <c r="AJ33" i="5" s="1"/>
  <c r="U13" i="5"/>
  <c r="U16" i="5" s="1"/>
  <c r="BC11" i="5"/>
  <c r="AE9" i="5"/>
  <c r="AE29" i="5" s="1"/>
  <c r="J11" i="5"/>
  <c r="AD28" i="5"/>
  <c r="Y13" i="5"/>
  <c r="J13" i="5"/>
  <c r="J14" i="5" s="1"/>
  <c r="T32" i="5"/>
  <c r="T33" i="5" s="1"/>
  <c r="Z9" i="5"/>
  <c r="Z29" i="5" s="1"/>
  <c r="AD13" i="5"/>
  <c r="AD22" i="5" s="1"/>
  <c r="J9" i="5"/>
  <c r="J29" i="5" s="1"/>
  <c r="E30" i="5"/>
  <c r="F32" i="5" s="1"/>
  <c r="F33" i="5" s="1"/>
  <c r="F9" i="5"/>
  <c r="F29" i="5" s="1"/>
  <c r="O11" i="5"/>
  <c r="AF32" i="5"/>
  <c r="AF33" i="5" s="1"/>
  <c r="AQ11" i="5"/>
  <c r="F22" i="5"/>
  <c r="F16" i="5"/>
  <c r="F51" i="5" s="1"/>
  <c r="F14" i="5"/>
  <c r="AO51" i="5"/>
  <c r="AO22" i="5"/>
  <c r="AO14" i="5"/>
  <c r="AO16" i="5"/>
  <c r="AE14" i="5"/>
  <c r="AE16" i="5"/>
  <c r="AE51" i="5" s="1"/>
  <c r="AE22" i="5"/>
  <c r="B8" i="14"/>
  <c r="B29" i="11"/>
  <c r="S22" i="5"/>
  <c r="S14" i="5"/>
  <c r="S16" i="5"/>
  <c r="AJ16" i="5"/>
  <c r="AJ51" i="5" s="1"/>
  <c r="AJ14" i="5"/>
  <c r="T14" i="5"/>
  <c r="T16" i="5"/>
  <c r="T22" i="5"/>
  <c r="AZ22" i="5"/>
  <c r="AZ16" i="5"/>
  <c r="AZ51" i="5" s="1"/>
  <c r="AZ14" i="5"/>
  <c r="L14" i="5"/>
  <c r="L16" i="5"/>
  <c r="L51" i="5" s="1"/>
  <c r="L22" i="5"/>
  <c r="AQ22" i="5"/>
  <c r="AQ14" i="5"/>
  <c r="AQ16" i="5"/>
  <c r="AT22" i="5"/>
  <c r="AT14" i="5"/>
  <c r="AT16" i="5"/>
  <c r="AT51" i="5" s="1"/>
  <c r="AV28" i="5"/>
  <c r="AV13" i="5"/>
  <c r="AV30" i="5"/>
  <c r="AV11" i="5"/>
  <c r="AV9" i="5"/>
  <c r="AV29" i="5" s="1"/>
  <c r="AH9" i="5"/>
  <c r="AH29" i="5" s="1"/>
  <c r="AH30" i="5"/>
  <c r="AH32" i="5" s="1"/>
  <c r="AH33" i="5" s="1"/>
  <c r="AH13" i="5"/>
  <c r="AH28" i="5"/>
  <c r="AH11" i="5"/>
  <c r="F6" i="6"/>
  <c r="BI30" i="5"/>
  <c r="BI13" i="5"/>
  <c r="BI28" i="5"/>
  <c r="BI11" i="5"/>
  <c r="BI9" i="5"/>
  <c r="BI29" i="5" s="1"/>
  <c r="C28" i="5"/>
  <c r="C30" i="5"/>
  <c r="C11" i="5"/>
  <c r="C13" i="5"/>
  <c r="C9" i="5"/>
  <c r="C29" i="5" s="1"/>
  <c r="D6" i="6"/>
  <c r="D4" i="7" s="1"/>
  <c r="AK28" i="5"/>
  <c r="AK11" i="5"/>
  <c r="AK13" i="5"/>
  <c r="AK30" i="5"/>
  <c r="AK32" i="5" s="1"/>
  <c r="AK33" i="5" s="1"/>
  <c r="AK9" i="5"/>
  <c r="AK29" i="5" s="1"/>
  <c r="X28" i="5"/>
  <c r="X11" i="5"/>
  <c r="X9" i="5"/>
  <c r="X29" i="5" s="1"/>
  <c r="X30" i="5"/>
  <c r="Y32" i="5" s="1"/>
  <c r="Y33" i="5" s="1"/>
  <c r="X13" i="5"/>
  <c r="AX30" i="5"/>
  <c r="AX13" i="5"/>
  <c r="AX11" i="5"/>
  <c r="AX28" i="5"/>
  <c r="AX9" i="5"/>
  <c r="AT32" i="5"/>
  <c r="AF14" i="5"/>
  <c r="AF16" i="5"/>
  <c r="AF22" i="5"/>
  <c r="AG16" i="5"/>
  <c r="AG14" i="5"/>
  <c r="AG22" i="5"/>
  <c r="C8" i="6"/>
  <c r="C9" i="6" s="1"/>
  <c r="C12" i="4"/>
  <c r="AG32" i="5"/>
  <c r="AR9" i="5"/>
  <c r="AR29" i="5" s="1"/>
  <c r="AR30" i="5"/>
  <c r="AR32" i="5" s="1"/>
  <c r="AR33" i="5" s="1"/>
  <c r="AR13" i="5"/>
  <c r="AR11" i="5"/>
  <c r="AR28" i="5"/>
  <c r="BD22" i="5"/>
  <c r="G21" i="17"/>
  <c r="G23" i="17" s="1"/>
  <c r="G8" i="18"/>
  <c r="G9" i="18"/>
  <c r="F26" i="11"/>
  <c r="F28" i="11" s="1"/>
  <c r="C13" i="9" s="1"/>
  <c r="D13" i="9" s="1"/>
  <c r="G24" i="16"/>
  <c r="BH30" i="5"/>
  <c r="BH13" i="5"/>
  <c r="BH28" i="5"/>
  <c r="BH11" i="5"/>
  <c r="BH9" i="5"/>
  <c r="BH29" i="5" s="1"/>
  <c r="D8" i="6"/>
  <c r="D12" i="4"/>
  <c r="AB28" i="5"/>
  <c r="AB30" i="5"/>
  <c r="AB11" i="5"/>
  <c r="AB13" i="5"/>
  <c r="AB9" i="5"/>
  <c r="AB29" i="5" s="1"/>
  <c r="AS9" i="5"/>
  <c r="AS29" i="5" s="1"/>
  <c r="Z22" i="5"/>
  <c r="Z14" i="5"/>
  <c r="Z16" i="5"/>
  <c r="D30" i="5"/>
  <c r="D13" i="5"/>
  <c r="D11" i="5"/>
  <c r="D9" i="5"/>
  <c r="D29" i="5" s="1"/>
  <c r="D28" i="5"/>
  <c r="E9" i="5"/>
  <c r="E29" i="5" s="1"/>
  <c r="B6" i="6"/>
  <c r="B4" i="7" s="1"/>
  <c r="M28" i="5"/>
  <c r="M9" i="5"/>
  <c r="M29" i="5" s="1"/>
  <c r="M11" i="5"/>
  <c r="M30" i="5"/>
  <c r="M32" i="5" s="1"/>
  <c r="M33" i="5" s="1"/>
  <c r="M13" i="5"/>
  <c r="BA30" i="5"/>
  <c r="BA32" i="5" s="1"/>
  <c r="BA33" i="5" s="1"/>
  <c r="BA28" i="5"/>
  <c r="BA9" i="5"/>
  <c r="BA29" i="5" s="1"/>
  <c r="BA11" i="5"/>
  <c r="BA13" i="5"/>
  <c r="BC16" i="5"/>
  <c r="BC22" i="5"/>
  <c r="BC14" i="5"/>
  <c r="AC30" i="5"/>
  <c r="AC28" i="5"/>
  <c r="AC13" i="5"/>
  <c r="AC9" i="5"/>
  <c r="AC29" i="5" s="1"/>
  <c r="AC11" i="5"/>
  <c r="AD32" i="5"/>
  <c r="AD33" i="5" s="1"/>
  <c r="H22" i="5"/>
  <c r="H16" i="5"/>
  <c r="H51" i="5" s="1"/>
  <c r="H14" i="5"/>
  <c r="E8" i="6"/>
  <c r="E12" i="4"/>
  <c r="AY30" i="5"/>
  <c r="AZ32" i="5" s="1"/>
  <c r="AZ33" i="5" s="1"/>
  <c r="AY11" i="5"/>
  <c r="AY28" i="5"/>
  <c r="AY9" i="5"/>
  <c r="AY29" i="5" s="1"/>
  <c r="AY13" i="5"/>
  <c r="N28" i="5"/>
  <c r="N11" i="5"/>
  <c r="N9" i="5"/>
  <c r="N30" i="5"/>
  <c r="O32" i="5" s="1"/>
  <c r="O33" i="5" s="1"/>
  <c r="N13" i="5"/>
  <c r="O9" i="5"/>
  <c r="O29" i="5" s="1"/>
  <c r="AG33" i="5"/>
  <c r="AL28" i="5"/>
  <c r="AL13" i="5"/>
  <c r="AL11" i="5"/>
  <c r="AL30" i="5"/>
  <c r="AL9" i="5"/>
  <c r="AS22" i="5"/>
  <c r="AS14" i="5"/>
  <c r="AS16" i="5"/>
  <c r="C29" i="11"/>
  <c r="C8" i="14"/>
  <c r="P30" i="5"/>
  <c r="P32" i="5" s="1"/>
  <c r="P33" i="5" s="1"/>
  <c r="P13" i="5"/>
  <c r="P28" i="5"/>
  <c r="P11" i="5"/>
  <c r="P9" i="5"/>
  <c r="P29" i="5" s="1"/>
  <c r="B28" i="5"/>
  <c r="B30" i="5"/>
  <c r="B32" i="5" s="1"/>
  <c r="B33" i="5" s="1"/>
  <c r="B9" i="5"/>
  <c r="B11" i="5"/>
  <c r="B13" i="5"/>
  <c r="V30" i="5"/>
  <c r="V32" i="5" s="1"/>
  <c r="V33" i="5" s="1"/>
  <c r="V9" i="5"/>
  <c r="V29" i="5" s="1"/>
  <c r="V11" i="5"/>
  <c r="V28" i="5"/>
  <c r="V13" i="5"/>
  <c r="AP30" i="5"/>
  <c r="AP32" i="5" s="1"/>
  <c r="AP33" i="5" s="1"/>
  <c r="AP28" i="5"/>
  <c r="AP13" i="5"/>
  <c r="AP9" i="5"/>
  <c r="AP29" i="5" s="1"/>
  <c r="AP11" i="5"/>
  <c r="Q30" i="5"/>
  <c r="Q13" i="5"/>
  <c r="Q28" i="5"/>
  <c r="Q11" i="5"/>
  <c r="Q9" i="5"/>
  <c r="Q29" i="5" s="1"/>
  <c r="U14" i="5"/>
  <c r="Y9" i="5"/>
  <c r="Y29" i="5" s="1"/>
  <c r="AT33" i="5"/>
  <c r="AI32" i="5"/>
  <c r="AI33" i="5" s="1"/>
  <c r="K28" i="5"/>
  <c r="K9" i="5"/>
  <c r="K29" i="5" s="1"/>
  <c r="K11" i="5"/>
  <c r="K13" i="5"/>
  <c r="K30" i="5"/>
  <c r="K32" i="5" s="1"/>
  <c r="K33" i="5" s="1"/>
  <c r="BG28" i="5"/>
  <c r="BG13" i="5"/>
  <c r="BG30" i="5"/>
  <c r="BG11" i="5"/>
  <c r="BG9" i="5"/>
  <c r="BG29" i="5" s="1"/>
  <c r="E6" i="6"/>
  <c r="E4" i="7" s="1"/>
  <c r="AW30" i="5"/>
  <c r="AW32" i="5" s="1"/>
  <c r="AW33" i="5" s="1"/>
  <c r="AW13" i="5"/>
  <c r="AW11" i="5"/>
  <c r="AW28" i="5"/>
  <c r="AW9" i="5"/>
  <c r="AW29" i="5" s="1"/>
  <c r="AM30" i="5"/>
  <c r="AM28" i="5"/>
  <c r="AM11" i="5"/>
  <c r="AM13" i="5"/>
  <c r="AM9" i="5"/>
  <c r="AM29" i="5" s="1"/>
  <c r="B8" i="6"/>
  <c r="B12" i="4"/>
  <c r="AE32" i="5"/>
  <c r="AE33" i="5" s="1"/>
  <c r="AI52" i="5"/>
  <c r="AJ17" i="5"/>
  <c r="BF28" i="5"/>
  <c r="BF13" i="5"/>
  <c r="BF11" i="5"/>
  <c r="BF30" i="5"/>
  <c r="BF9" i="5"/>
  <c r="BF29" i="5" s="1"/>
  <c r="AI51" i="5"/>
  <c r="I28" i="5"/>
  <c r="I9" i="5"/>
  <c r="I29" i="5" s="1"/>
  <c r="I11" i="5"/>
  <c r="I13" i="5"/>
  <c r="I30" i="5"/>
  <c r="I32" i="5" s="1"/>
  <c r="I33" i="5" s="1"/>
  <c r="AZ9" i="5"/>
  <c r="AZ29" i="5" s="1"/>
  <c r="AU28" i="5"/>
  <c r="AU11" i="5"/>
  <c r="AU30" i="5"/>
  <c r="AU32" i="5" s="1"/>
  <c r="AU33" i="5" s="1"/>
  <c r="AU9" i="5"/>
  <c r="AU29" i="5" s="1"/>
  <c r="AU13" i="5"/>
  <c r="AA30" i="5"/>
  <c r="AA32" i="5" s="1"/>
  <c r="AA33" i="5" s="1"/>
  <c r="AA13" i="5"/>
  <c r="AA28" i="5"/>
  <c r="AA11" i="5"/>
  <c r="AA9" i="5"/>
  <c r="D8" i="14"/>
  <c r="D29" i="11"/>
  <c r="BB30" i="5"/>
  <c r="BC32" i="5" s="1"/>
  <c r="BC33" i="5" s="1"/>
  <c r="BB9" i="5"/>
  <c r="BB29" i="5" s="1"/>
  <c r="BB28" i="5"/>
  <c r="BB13" i="5"/>
  <c r="BB11" i="5"/>
  <c r="AN30" i="5"/>
  <c r="AO32" i="5" s="1"/>
  <c r="AO33" i="5" s="1"/>
  <c r="AN28" i="5"/>
  <c r="AN11" i="5"/>
  <c r="AN13" i="5"/>
  <c r="AN9" i="5"/>
  <c r="AN29" i="5" s="1"/>
  <c r="E16" i="5"/>
  <c r="E22" i="5"/>
  <c r="E14" i="5"/>
  <c r="W28" i="5"/>
  <c r="W13" i="5"/>
  <c r="W9" i="5"/>
  <c r="W29" i="5" s="1"/>
  <c r="W11" i="5"/>
  <c r="W30" i="5"/>
  <c r="G30" i="5"/>
  <c r="G32" i="5" s="1"/>
  <c r="G33" i="5" s="1"/>
  <c r="G13" i="5"/>
  <c r="G28" i="5"/>
  <c r="G9" i="5"/>
  <c r="G29" i="5" s="1"/>
  <c r="G11" i="5"/>
  <c r="E29" i="11"/>
  <c r="E8" i="14"/>
  <c r="R30" i="5"/>
  <c r="R28" i="5"/>
  <c r="R13" i="5"/>
  <c r="R9" i="5"/>
  <c r="R29" i="5" s="1"/>
  <c r="R11" i="5"/>
  <c r="BE28" i="5"/>
  <c r="BE13" i="5"/>
  <c r="BE9" i="5"/>
  <c r="BE29" i="5" s="1"/>
  <c r="BE30" i="5"/>
  <c r="BE11" i="5"/>
  <c r="F8" i="6"/>
  <c r="F12" i="4"/>
  <c r="S32" i="5"/>
  <c r="S33" i="5" s="1"/>
  <c r="BE32" i="5" l="1"/>
  <c r="BE33" i="5" s="1"/>
  <c r="O16" i="5"/>
  <c r="O51" i="5" s="1"/>
  <c r="O14" i="5"/>
  <c r="BD16" i="5"/>
  <c r="BD52" i="5" s="1"/>
  <c r="U22" i="5"/>
  <c r="J16" i="5"/>
  <c r="J52" i="5" s="1"/>
  <c r="F9" i="6"/>
  <c r="J22" i="5"/>
  <c r="D19" i="6"/>
  <c r="E17" i="15" s="1"/>
  <c r="Q32" i="5"/>
  <c r="Q33" i="5" s="1"/>
  <c r="W32" i="5"/>
  <c r="W33" i="5" s="1"/>
  <c r="H32" i="5"/>
  <c r="H33" i="5" s="1"/>
  <c r="AL32" i="5"/>
  <c r="AL33" i="5" s="1"/>
  <c r="AN32" i="5"/>
  <c r="AN33" i="5" s="1"/>
  <c r="Y16" i="5"/>
  <c r="C10" i="6"/>
  <c r="Y22" i="5"/>
  <c r="Y14" i="5"/>
  <c r="B19" i="6"/>
  <c r="C17" i="15" s="1"/>
  <c r="AD14" i="5"/>
  <c r="AX32" i="5"/>
  <c r="AX33" i="5" s="1"/>
  <c r="AD16" i="5"/>
  <c r="AD51" i="5" s="1"/>
  <c r="BF32" i="5"/>
  <c r="BF33" i="5" s="1"/>
  <c r="BI32" i="5"/>
  <c r="BI33" i="5" s="1"/>
  <c r="D13" i="6"/>
  <c r="E7" i="15" s="1"/>
  <c r="E9" i="6"/>
  <c r="AC32" i="5"/>
  <c r="AC33" i="5" s="1"/>
  <c r="AQ32" i="5"/>
  <c r="AQ33" i="5" s="1"/>
  <c r="AM32" i="5"/>
  <c r="AM33" i="5" s="1"/>
  <c r="D9" i="6"/>
  <c r="B34" i="5"/>
  <c r="AX22" i="5"/>
  <c r="AX14" i="5"/>
  <c r="AX16" i="5"/>
  <c r="E52" i="5"/>
  <c r="F17" i="5"/>
  <c r="E19" i="6"/>
  <c r="F17" i="15" s="1"/>
  <c r="C13" i="6"/>
  <c r="D7" i="15" s="1"/>
  <c r="AN22" i="5"/>
  <c r="AN16" i="5"/>
  <c r="AN14" i="5"/>
  <c r="E7" i="6"/>
  <c r="AL29" i="5"/>
  <c r="E20" i="6" s="1"/>
  <c r="F18" i="15" s="1"/>
  <c r="AS52" i="5"/>
  <c r="AT17" i="5"/>
  <c r="C7" i="6"/>
  <c r="N29" i="5"/>
  <c r="C20" i="6" s="1"/>
  <c r="D18" i="15" s="1"/>
  <c r="AQ52" i="5"/>
  <c r="E51" i="5"/>
  <c r="AA22" i="5"/>
  <c r="AA14" i="5"/>
  <c r="AA16" i="5"/>
  <c r="AA17" i="5" s="1"/>
  <c r="B9" i="6"/>
  <c r="BG32" i="5"/>
  <c r="BG33" i="5" s="1"/>
  <c r="U52" i="5"/>
  <c r="AP14" i="5"/>
  <c r="AP22" i="5"/>
  <c r="AP16" i="5"/>
  <c r="AP17" i="5" s="1"/>
  <c r="P14" i="5"/>
  <c r="P16" i="5"/>
  <c r="P51" i="5" s="1"/>
  <c r="P22" i="5"/>
  <c r="C19" i="6"/>
  <c r="D17" i="15" s="1"/>
  <c r="Z51" i="5"/>
  <c r="BH51" i="5"/>
  <c r="BH14" i="5"/>
  <c r="BH22" i="5"/>
  <c r="BH16" i="5"/>
  <c r="AG52" i="5"/>
  <c r="X22" i="5"/>
  <c r="X16" i="5"/>
  <c r="X14" i="5"/>
  <c r="F6" i="8"/>
  <c r="F4" i="7"/>
  <c r="F5" i="8"/>
  <c r="F4" i="8"/>
  <c r="S52" i="5"/>
  <c r="T17" i="5"/>
  <c r="AC22" i="5"/>
  <c r="AC14" i="5"/>
  <c r="AC16" i="5"/>
  <c r="BG14" i="5"/>
  <c r="BG22" i="5"/>
  <c r="BG16" i="5"/>
  <c r="BG51" i="5" s="1"/>
  <c r="B14" i="5"/>
  <c r="B16" i="5"/>
  <c r="B22" i="5"/>
  <c r="BH32" i="5"/>
  <c r="BH33" i="5" s="1"/>
  <c r="AG51" i="5"/>
  <c r="X32" i="5"/>
  <c r="X33" i="5" s="1"/>
  <c r="D10" i="6"/>
  <c r="AK22" i="5"/>
  <c r="AK14" i="5"/>
  <c r="AK16" i="5"/>
  <c r="AK17" i="5" s="1"/>
  <c r="C14" i="5"/>
  <c r="C22" i="5"/>
  <c r="C16" i="5"/>
  <c r="C51" i="5" s="1"/>
  <c r="E10" i="6"/>
  <c r="AW14" i="5"/>
  <c r="AW16" i="5"/>
  <c r="AW51" i="5" s="1"/>
  <c r="E39" i="6" s="1"/>
  <c r="AW22" i="5"/>
  <c r="AM14" i="5"/>
  <c r="AM22" i="5"/>
  <c r="AM16" i="5"/>
  <c r="AM51" i="5" s="1"/>
  <c r="BA14" i="5"/>
  <c r="BA22" i="5"/>
  <c r="BA16" i="5"/>
  <c r="L32" i="5"/>
  <c r="L33" i="5" s="1"/>
  <c r="AS32" i="5"/>
  <c r="AS33" i="5" s="1"/>
  <c r="F10" i="6"/>
  <c r="BI14" i="5"/>
  <c r="BI22" i="5"/>
  <c r="BI16" i="5"/>
  <c r="BI51" i="5" s="1"/>
  <c r="F39" i="6" s="1"/>
  <c r="T52" i="5"/>
  <c r="U17" i="5"/>
  <c r="AS51" i="5"/>
  <c r="AV32" i="5"/>
  <c r="AV33" i="5" s="1"/>
  <c r="I14" i="5"/>
  <c r="I16" i="5"/>
  <c r="I51" i="5" s="1"/>
  <c r="I22" i="5"/>
  <c r="BB16" i="5"/>
  <c r="BB22" i="5"/>
  <c r="BB14" i="5"/>
  <c r="W22" i="5"/>
  <c r="W14" i="5"/>
  <c r="W16" i="5"/>
  <c r="W51" i="5" s="1"/>
  <c r="BF22" i="5"/>
  <c r="BF16" i="5"/>
  <c r="BF51" i="5" s="1"/>
  <c r="BF14" i="5"/>
  <c r="H52" i="5"/>
  <c r="R22" i="5"/>
  <c r="R16" i="5"/>
  <c r="R51" i="5" s="1"/>
  <c r="R14" i="5"/>
  <c r="AU14" i="5"/>
  <c r="AU22" i="5"/>
  <c r="AU16" i="5"/>
  <c r="AU17" i="5" s="1"/>
  <c r="B13" i="6"/>
  <c r="C7" i="15" s="1"/>
  <c r="AY22" i="5"/>
  <c r="AY14" i="5"/>
  <c r="AY16" i="5"/>
  <c r="T51" i="5"/>
  <c r="G22" i="5"/>
  <c r="G16" i="5"/>
  <c r="G51" i="5" s="1"/>
  <c r="G14" i="5"/>
  <c r="BB32" i="5"/>
  <c r="BB33" i="5" s="1"/>
  <c r="O52" i="5"/>
  <c r="P17" i="5"/>
  <c r="U51" i="5"/>
  <c r="B7" i="6"/>
  <c r="B29" i="5"/>
  <c r="B20" i="6" s="1"/>
  <c r="C18" i="15" s="1"/>
  <c r="B10" i="6"/>
  <c r="M22" i="5"/>
  <c r="M14" i="5"/>
  <c r="M16" i="5"/>
  <c r="M17" i="5" s="1"/>
  <c r="D14" i="5"/>
  <c r="D22" i="5"/>
  <c r="D16" i="5"/>
  <c r="C32" i="5"/>
  <c r="C33" i="5" s="1"/>
  <c r="AV22" i="5"/>
  <c r="AV16" i="5"/>
  <c r="AV14" i="5"/>
  <c r="AQ51" i="5"/>
  <c r="AZ52" i="5"/>
  <c r="F52" i="5"/>
  <c r="BC52" i="5"/>
  <c r="BD17" i="5"/>
  <c r="AJ37" i="5"/>
  <c r="AJ19" i="5"/>
  <c r="AL22" i="5"/>
  <c r="AL16" i="5"/>
  <c r="AL51" i="5" s="1"/>
  <c r="AL14" i="5"/>
  <c r="BE14" i="5"/>
  <c r="BE22" i="5"/>
  <c r="BE16" i="5"/>
  <c r="R32" i="5"/>
  <c r="R33" i="5" s="1"/>
  <c r="V16" i="5"/>
  <c r="V22" i="5"/>
  <c r="V14" i="5"/>
  <c r="D32" i="5"/>
  <c r="D33" i="5" s="1"/>
  <c r="E32" i="5"/>
  <c r="E33" i="5" s="1"/>
  <c r="AB22" i="5"/>
  <c r="AB16" i="5"/>
  <c r="AB14" i="5"/>
  <c r="AB51" i="5"/>
  <c r="F8" i="14"/>
  <c r="I8" i="14" s="1"/>
  <c r="F29" i="11"/>
  <c r="AF52" i="5"/>
  <c r="AG17" i="5"/>
  <c r="AD52" i="5"/>
  <c r="S51" i="5"/>
  <c r="J51" i="5"/>
  <c r="AO52" i="5"/>
  <c r="F7" i="6"/>
  <c r="AX29" i="5"/>
  <c r="F20" i="6" s="1"/>
  <c r="G18" i="15" s="1"/>
  <c r="K16" i="5"/>
  <c r="K14" i="5"/>
  <c r="K22" i="5"/>
  <c r="N14" i="5"/>
  <c r="N16" i="5"/>
  <c r="N51" i="5" s="1"/>
  <c r="N22" i="5"/>
  <c r="AY32" i="5"/>
  <c r="AY33" i="5" s="1"/>
  <c r="AB32" i="5"/>
  <c r="AB33" i="5" s="1"/>
  <c r="D27" i="6" s="1"/>
  <c r="E16" i="17" s="1"/>
  <c r="E17" i="17" s="1"/>
  <c r="F19" i="6"/>
  <c r="G17" i="15" s="1"/>
  <c r="J32" i="5"/>
  <c r="J33" i="5" s="1"/>
  <c r="AH14" i="5"/>
  <c r="AH16" i="5"/>
  <c r="AH17" i="5" s="1"/>
  <c r="AH22" i="5"/>
  <c r="AT52" i="5"/>
  <c r="L52" i="5"/>
  <c r="AJ52" i="5"/>
  <c r="AA29" i="5"/>
  <c r="D20" i="6" s="1"/>
  <c r="E18" i="15" s="1"/>
  <c r="D7" i="6"/>
  <c r="Q22" i="5"/>
  <c r="Q16" i="5"/>
  <c r="Q14" i="5"/>
  <c r="E13" i="6"/>
  <c r="F7" i="15" s="1"/>
  <c r="N32" i="5"/>
  <c r="N33" i="5" s="1"/>
  <c r="BC51" i="5"/>
  <c r="Z52" i="5"/>
  <c r="AR16" i="5"/>
  <c r="AR22" i="5"/>
  <c r="AR14" i="5"/>
  <c r="AF51" i="5"/>
  <c r="F13" i="6"/>
  <c r="G7" i="15" s="1"/>
  <c r="AE52" i="5"/>
  <c r="AF17" i="5"/>
  <c r="BD51" i="5" l="1"/>
  <c r="C27" i="6"/>
  <c r="D16" i="17" s="1"/>
  <c r="D17" i="17" s="1"/>
  <c r="G17" i="5"/>
  <c r="G19" i="5" s="1"/>
  <c r="D17" i="16"/>
  <c r="C14" i="25"/>
  <c r="C16" i="25" s="1"/>
  <c r="C65" i="3" s="1"/>
  <c r="D14" i="7"/>
  <c r="D18" i="16"/>
  <c r="C5" i="7"/>
  <c r="Y52" i="5"/>
  <c r="C11" i="6"/>
  <c r="Z17" i="5"/>
  <c r="Y51" i="5"/>
  <c r="C39" i="6" s="1"/>
  <c r="AH51" i="5"/>
  <c r="C16" i="6"/>
  <c r="D11" i="15" s="1"/>
  <c r="F27" i="6"/>
  <c r="G16" i="17" s="1"/>
  <c r="G17" i="17" s="1"/>
  <c r="AE17" i="5"/>
  <c r="AE37" i="5" s="1"/>
  <c r="AU51" i="5"/>
  <c r="E27" i="6"/>
  <c r="F16" i="17" s="1"/>
  <c r="F17" i="17" s="1"/>
  <c r="D16" i="6"/>
  <c r="E11" i="15" s="1"/>
  <c r="B27" i="6"/>
  <c r="C16" i="17" s="1"/>
  <c r="C17" i="17" s="1"/>
  <c r="AU37" i="5"/>
  <c r="AU19" i="5"/>
  <c r="BA52" i="5"/>
  <c r="BB17" i="5"/>
  <c r="B52" i="5"/>
  <c r="C17" i="5"/>
  <c r="B17" i="5"/>
  <c r="AK37" i="5"/>
  <c r="AK19" i="5"/>
  <c r="AV52" i="5"/>
  <c r="AW17" i="5"/>
  <c r="M19" i="5"/>
  <c r="M37" i="5"/>
  <c r="BD37" i="5"/>
  <c r="BD19" i="5"/>
  <c r="BA17" i="5"/>
  <c r="AV51" i="5"/>
  <c r="B11" i="6"/>
  <c r="M52" i="5"/>
  <c r="N17" i="5"/>
  <c r="AY52" i="5"/>
  <c r="AZ17" i="5"/>
  <c r="E11" i="6"/>
  <c r="AW52" i="5"/>
  <c r="AX17" i="5"/>
  <c r="BH52" i="5"/>
  <c r="BI17" i="5"/>
  <c r="AA52" i="5"/>
  <c r="AB17" i="5"/>
  <c r="F19" i="5"/>
  <c r="F37" i="5"/>
  <c r="K52" i="5"/>
  <c r="L17" i="5"/>
  <c r="BE52" i="5"/>
  <c r="BF17" i="5"/>
  <c r="P37" i="5"/>
  <c r="P19" i="5"/>
  <c r="G37" i="16"/>
  <c r="M7" i="7"/>
  <c r="L17" i="7"/>
  <c r="AC52" i="5"/>
  <c r="AD17" i="5"/>
  <c r="X52" i="5"/>
  <c r="Y17" i="5"/>
  <c r="BE17" i="5"/>
  <c r="K51" i="5"/>
  <c r="AM52" i="5"/>
  <c r="AN17" i="5"/>
  <c r="F37" i="16"/>
  <c r="L7" i="7"/>
  <c r="L16" i="7"/>
  <c r="V17" i="5"/>
  <c r="AN52" i="5"/>
  <c r="AO17" i="5"/>
  <c r="G18" i="16"/>
  <c r="G17" i="16"/>
  <c r="F14" i="25"/>
  <c r="F16" i="25" s="1"/>
  <c r="F65" i="3" s="1"/>
  <c r="D17" i="7"/>
  <c r="G10" i="17"/>
  <c r="F5" i="7"/>
  <c r="E16" i="6"/>
  <c r="F11" i="15" s="1"/>
  <c r="AY51" i="5"/>
  <c r="I52" i="5"/>
  <c r="J17" i="5"/>
  <c r="F18" i="16"/>
  <c r="E14" i="25"/>
  <c r="E16" i="25" s="1"/>
  <c r="E65" i="3" s="1"/>
  <c r="E5" i="7"/>
  <c r="F10" i="17"/>
  <c r="F17" i="16"/>
  <c r="D16" i="7"/>
  <c r="T37" i="5"/>
  <c r="T19" i="5"/>
  <c r="AL52" i="5"/>
  <c r="AM17" i="5"/>
  <c r="U37" i="5"/>
  <c r="U19" i="5"/>
  <c r="AR52" i="5"/>
  <c r="AS17" i="5"/>
  <c r="AR51" i="5"/>
  <c r="M51" i="5"/>
  <c r="B39" i="6" s="1"/>
  <c r="R52" i="5"/>
  <c r="S17" i="5"/>
  <c r="BF52" i="5"/>
  <c r="BG17" i="5"/>
  <c r="AL17" i="5"/>
  <c r="AK52" i="5"/>
  <c r="D11" i="6"/>
  <c r="B16" i="6"/>
  <c r="C11" i="15" s="1"/>
  <c r="BG52" i="5"/>
  <c r="BH17" i="5"/>
  <c r="X51" i="5"/>
  <c r="AP52" i="5"/>
  <c r="AQ17" i="5"/>
  <c r="AA51" i="5"/>
  <c r="AT37" i="5"/>
  <c r="AT19" i="5"/>
  <c r="AX52" i="5"/>
  <c r="AY17" i="5"/>
  <c r="N52" i="5"/>
  <c r="O17" i="5"/>
  <c r="Q52" i="5"/>
  <c r="R17" i="5"/>
  <c r="V52" i="5"/>
  <c r="W17" i="5"/>
  <c r="BE51" i="5"/>
  <c r="C10" i="17"/>
  <c r="C17" i="16"/>
  <c r="B14" i="25"/>
  <c r="B16" i="25" s="1"/>
  <c r="B65" i="3" s="1"/>
  <c r="B5" i="7"/>
  <c r="C18" i="16"/>
  <c r="D13" i="7"/>
  <c r="D10" i="17"/>
  <c r="F11" i="6"/>
  <c r="BI52" i="5"/>
  <c r="AC51" i="5"/>
  <c r="G4" i="8"/>
  <c r="H4" i="8" s="1"/>
  <c r="AH37" i="5"/>
  <c r="AH19" i="5"/>
  <c r="AN51" i="5"/>
  <c r="AA37" i="5"/>
  <c r="AA19" i="5"/>
  <c r="D52" i="5"/>
  <c r="E17" i="5"/>
  <c r="K17" i="5"/>
  <c r="F16" i="6"/>
  <c r="G11" i="15" s="1"/>
  <c r="B35" i="5"/>
  <c r="B36" i="5" s="1"/>
  <c r="B24" i="5" s="1"/>
  <c r="C34" i="5"/>
  <c r="AF37" i="5"/>
  <c r="AF19" i="5"/>
  <c r="AP19" i="5"/>
  <c r="AP37" i="5"/>
  <c r="H17" i="5"/>
  <c r="G52" i="5"/>
  <c r="AV17" i="5"/>
  <c r="AU52" i="5"/>
  <c r="C52" i="5"/>
  <c r="D17" i="5"/>
  <c r="G5" i="8"/>
  <c r="H5" i="8" s="1"/>
  <c r="Q51" i="5"/>
  <c r="AG37" i="5"/>
  <c r="AG19" i="5"/>
  <c r="AB52" i="5"/>
  <c r="D40" i="6" s="1"/>
  <c r="K8" i="7" s="1"/>
  <c r="AC17" i="5"/>
  <c r="V51" i="5"/>
  <c r="D51" i="5"/>
  <c r="BB52" i="5"/>
  <c r="BC17" i="5"/>
  <c r="E10" i="17"/>
  <c r="E17" i="16"/>
  <c r="D14" i="25"/>
  <c r="D16" i="25" s="1"/>
  <c r="D65" i="3" s="1"/>
  <c r="E18" i="16"/>
  <c r="D5" i="7"/>
  <c r="D15" i="7"/>
  <c r="AP51" i="5"/>
  <c r="AH52" i="5"/>
  <c r="AI17" i="5"/>
  <c r="I17" i="5"/>
  <c r="W52" i="5"/>
  <c r="X17" i="5"/>
  <c r="BB51" i="5"/>
  <c r="BA51" i="5"/>
  <c r="AK51" i="5"/>
  <c r="D39" i="6" s="1"/>
  <c r="B51" i="5"/>
  <c r="G6" i="8"/>
  <c r="H6" i="8" s="1"/>
  <c r="P52" i="5"/>
  <c r="Q17" i="5"/>
  <c r="AR17" i="5"/>
  <c r="AX51" i="5"/>
  <c r="G37" i="5" l="1"/>
  <c r="AE19" i="5"/>
  <c r="L14" i="7"/>
  <c r="D37" i="16"/>
  <c r="J7" i="7"/>
  <c r="Z37" i="5"/>
  <c r="Z19" i="5"/>
  <c r="D5" i="21"/>
  <c r="C6" i="7"/>
  <c r="X27" i="5"/>
  <c r="R27" i="5"/>
  <c r="P27" i="5"/>
  <c r="V27" i="5"/>
  <c r="W27" i="5"/>
  <c r="N27" i="5"/>
  <c r="O27" i="5"/>
  <c r="U27" i="5"/>
  <c r="T27" i="5"/>
  <c r="Y27" i="5"/>
  <c r="S27" i="5"/>
  <c r="Q27" i="5"/>
  <c r="E40" i="6"/>
  <c r="L8" i="7" s="1"/>
  <c r="AZ37" i="5"/>
  <c r="AZ19" i="5"/>
  <c r="BA19" i="5"/>
  <c r="BA37" i="5"/>
  <c r="G11" i="17"/>
  <c r="G5" i="21"/>
  <c r="F6" i="7"/>
  <c r="AH27" i="5"/>
  <c r="AD27" i="5"/>
  <c r="Z27" i="5"/>
  <c r="AC27" i="5"/>
  <c r="AF27" i="5"/>
  <c r="AB27" i="5"/>
  <c r="AG27" i="5"/>
  <c r="AE27" i="5"/>
  <c r="AJ27" i="5"/>
  <c r="AI27" i="5"/>
  <c r="AA27" i="5"/>
  <c r="AK27" i="5"/>
  <c r="AC37" i="5"/>
  <c r="AC19" i="5"/>
  <c r="H19" i="5"/>
  <c r="H37" i="5"/>
  <c r="O37" i="5"/>
  <c r="O19" i="5"/>
  <c r="AS37" i="5"/>
  <c r="AS19" i="5"/>
  <c r="Q37" i="5"/>
  <c r="Q19" i="5"/>
  <c r="E5" i="21"/>
  <c r="E11" i="17"/>
  <c r="D6" i="7"/>
  <c r="I37" i="5"/>
  <c r="I19" i="5"/>
  <c r="AV19" i="5"/>
  <c r="AV37" i="5"/>
  <c r="I27" i="5"/>
  <c r="K27" i="5"/>
  <c r="C27" i="5"/>
  <c r="H27" i="5"/>
  <c r="B27" i="5"/>
  <c r="B47" i="5" s="1"/>
  <c r="D27" i="5"/>
  <c r="F27" i="5"/>
  <c r="E27" i="5"/>
  <c r="M27" i="5"/>
  <c r="G27" i="5"/>
  <c r="J27" i="5"/>
  <c r="L27" i="5"/>
  <c r="BH37" i="5"/>
  <c r="BH19" i="5"/>
  <c r="BG37" i="5"/>
  <c r="BG19" i="5"/>
  <c r="AM37" i="5"/>
  <c r="AM19" i="5"/>
  <c r="BE37" i="5"/>
  <c r="BE19" i="5"/>
  <c r="BI37" i="5"/>
  <c r="BI19" i="5"/>
  <c r="C36" i="5"/>
  <c r="V37" i="5"/>
  <c r="V19" i="5"/>
  <c r="AR19" i="5"/>
  <c r="AR37" i="5"/>
  <c r="D37" i="5"/>
  <c r="D19" i="5"/>
  <c r="C35" i="5"/>
  <c r="D34" i="5"/>
  <c r="AR27" i="5"/>
  <c r="AS27" i="5"/>
  <c r="AL27" i="5"/>
  <c r="AT27" i="5"/>
  <c r="AM27" i="5"/>
  <c r="AN27" i="5"/>
  <c r="AV27" i="5"/>
  <c r="AQ27" i="5"/>
  <c r="AW27" i="5"/>
  <c r="AO27" i="5"/>
  <c r="AP27" i="5"/>
  <c r="AU27" i="5"/>
  <c r="C40" i="6"/>
  <c r="J8" i="7" s="1"/>
  <c r="AQ37" i="5"/>
  <c r="AQ19" i="5"/>
  <c r="S37" i="5"/>
  <c r="S19" i="5"/>
  <c r="BB27" i="5"/>
  <c r="BG27" i="5"/>
  <c r="AY27" i="5"/>
  <c r="AZ27" i="5"/>
  <c r="BC27" i="5"/>
  <c r="BA27" i="5"/>
  <c r="AX27" i="5"/>
  <c r="BF27" i="5"/>
  <c r="BD27" i="5"/>
  <c r="BE27" i="5"/>
  <c r="BH27" i="5"/>
  <c r="BI27" i="5"/>
  <c r="X19" i="5"/>
  <c r="X37" i="5"/>
  <c r="AI37" i="5"/>
  <c r="AI19" i="5"/>
  <c r="E37" i="16"/>
  <c r="L15" i="7"/>
  <c r="K7" i="7"/>
  <c r="R19" i="5"/>
  <c r="R37" i="5"/>
  <c r="F40" i="6"/>
  <c r="M8" i="7" s="1"/>
  <c r="Y37" i="5"/>
  <c r="Y19" i="5"/>
  <c r="B37" i="5"/>
  <c r="B19" i="5"/>
  <c r="N37" i="5"/>
  <c r="N19" i="5"/>
  <c r="C37" i="5"/>
  <c r="C19" i="5"/>
  <c r="AX37" i="5"/>
  <c r="AX19" i="5"/>
  <c r="AN37" i="5"/>
  <c r="AN19" i="5"/>
  <c r="AB19" i="5"/>
  <c r="AB37" i="5"/>
  <c r="AW37" i="5"/>
  <c r="AW19" i="5"/>
  <c r="C4" i="9"/>
  <c r="D4" i="9" s="1"/>
  <c r="B40" i="6"/>
  <c r="I8" i="7" s="1"/>
  <c r="AD37" i="5"/>
  <c r="AD19" i="5"/>
  <c r="BF19" i="5"/>
  <c r="BF37" i="5"/>
  <c r="BB37" i="5"/>
  <c r="BB19" i="5"/>
  <c r="K37" i="5"/>
  <c r="K19" i="5"/>
  <c r="W19" i="5"/>
  <c r="W37" i="5"/>
  <c r="J37" i="5"/>
  <c r="J19" i="5"/>
  <c r="BC19" i="5"/>
  <c r="BC37" i="5"/>
  <c r="E37" i="5"/>
  <c r="E19" i="5"/>
  <c r="AL19" i="5"/>
  <c r="AL37" i="5"/>
  <c r="C5" i="21"/>
  <c r="B6" i="7"/>
  <c r="C11" i="17"/>
  <c r="D11" i="17"/>
  <c r="AY37" i="5"/>
  <c r="AY19" i="5"/>
  <c r="C37" i="16"/>
  <c r="I7" i="7"/>
  <c r="L13" i="7"/>
  <c r="AO37" i="5"/>
  <c r="AO19" i="5"/>
  <c r="L37" i="5"/>
  <c r="L19" i="5"/>
  <c r="F11" i="17"/>
  <c r="E6" i="7"/>
  <c r="F5" i="21"/>
  <c r="D14" i="6" l="1"/>
  <c r="E8" i="15" s="1"/>
  <c r="D21" i="21"/>
  <c r="D22" i="21" s="1"/>
  <c r="D23" i="21" s="1"/>
  <c r="D8" i="21"/>
  <c r="D13" i="21" s="1"/>
  <c r="D8" i="16"/>
  <c r="D9" i="21"/>
  <c r="D7" i="21"/>
  <c r="C18" i="6"/>
  <c r="D16" i="15" s="1"/>
  <c r="D19" i="15" s="1"/>
  <c r="F14" i="6"/>
  <c r="G8" i="15" s="1"/>
  <c r="C14" i="6"/>
  <c r="D8" i="15" s="1"/>
  <c r="E34" i="5"/>
  <c r="D35" i="5"/>
  <c r="E9" i="21"/>
  <c r="E7" i="21"/>
  <c r="E12" i="21" s="1"/>
  <c r="E21" i="21"/>
  <c r="E22" i="21" s="1"/>
  <c r="E23" i="21" s="1"/>
  <c r="F6" i="21"/>
  <c r="E8" i="21"/>
  <c r="E13" i="21" s="1"/>
  <c r="E8" i="16"/>
  <c r="E6" i="21"/>
  <c r="C24" i="5"/>
  <c r="C25" i="5" s="1"/>
  <c r="C26" i="5" s="1"/>
  <c r="C38" i="5" s="1"/>
  <c r="C39" i="5" s="1"/>
  <c r="C47" i="5"/>
  <c r="B14" i="6"/>
  <c r="C8" i="15" s="1"/>
  <c r="B25" i="5"/>
  <c r="F21" i="21"/>
  <c r="F22" i="21" s="1"/>
  <c r="F23" i="21" s="1"/>
  <c r="F8" i="16"/>
  <c r="F7" i="21"/>
  <c r="F12" i="21" s="1"/>
  <c r="G6" i="21"/>
  <c r="F9" i="21"/>
  <c r="F8" i="21"/>
  <c r="F13" i="21" s="1"/>
  <c r="C9" i="21"/>
  <c r="C7" i="21"/>
  <c r="C12" i="21" s="1"/>
  <c r="C8" i="21"/>
  <c r="C13" i="21" s="1"/>
  <c r="C8" i="16"/>
  <c r="D6" i="21"/>
  <c r="C21" i="21"/>
  <c r="C22" i="21" s="1"/>
  <c r="C23" i="21" s="1"/>
  <c r="C6" i="21"/>
  <c r="D18" i="6"/>
  <c r="E16" i="15" s="1"/>
  <c r="E19" i="15" s="1"/>
  <c r="E14" i="6"/>
  <c r="F8" i="15" s="1"/>
  <c r="F18" i="6"/>
  <c r="G16" i="15" s="1"/>
  <c r="G19" i="15" s="1"/>
  <c r="B18" i="6"/>
  <c r="C16" i="15" s="1"/>
  <c r="C19" i="15" s="1"/>
  <c r="E18" i="6"/>
  <c r="F16" i="15" s="1"/>
  <c r="F19" i="15" s="1"/>
  <c r="G8" i="16"/>
  <c r="G9" i="21"/>
  <c r="G7" i="21"/>
  <c r="G12" i="21" s="1"/>
  <c r="G21" i="21"/>
  <c r="G22" i="21" s="1"/>
  <c r="G23" i="21" s="1"/>
  <c r="G8" i="21"/>
  <c r="G13" i="21" s="1"/>
  <c r="D33" i="15" l="1"/>
  <c r="D10" i="16"/>
  <c r="D19" i="16"/>
  <c r="D36" i="15"/>
  <c r="E24" i="21"/>
  <c r="E25" i="21" s="1"/>
  <c r="D12" i="21"/>
  <c r="D10" i="21"/>
  <c r="D22" i="19" s="1"/>
  <c r="D14" i="21"/>
  <c r="D28" i="21"/>
  <c r="C10" i="21"/>
  <c r="C22" i="19" s="1"/>
  <c r="G10" i="21"/>
  <c r="G22" i="19" s="1"/>
  <c r="C19" i="16"/>
  <c r="C21" i="16" s="1"/>
  <c r="D24" i="21"/>
  <c r="D25" i="21" s="1"/>
  <c r="C25" i="21"/>
  <c r="C36" i="15"/>
  <c r="B26" i="5"/>
  <c r="C33" i="15"/>
  <c r="C10" i="16"/>
  <c r="G9" i="16"/>
  <c r="G32" i="15"/>
  <c r="F10" i="21"/>
  <c r="F22" i="19" s="1"/>
  <c r="F34" i="5"/>
  <c r="E35" i="5"/>
  <c r="F10" i="16"/>
  <c r="F33" i="15"/>
  <c r="F14" i="21"/>
  <c r="F15" i="21" s="1"/>
  <c r="F28" i="21"/>
  <c r="F32" i="15"/>
  <c r="F9" i="16"/>
  <c r="F36" i="15"/>
  <c r="G24" i="21"/>
  <c r="G25" i="21" s="1"/>
  <c r="F19" i="16"/>
  <c r="F21" i="16" s="1"/>
  <c r="C40" i="5"/>
  <c r="C41" i="5" s="1"/>
  <c r="C9" i="16"/>
  <c r="C32" i="15"/>
  <c r="E33" i="15"/>
  <c r="E10" i="16"/>
  <c r="G10" i="16"/>
  <c r="G33" i="15"/>
  <c r="C14" i="21"/>
  <c r="C15" i="21" s="1"/>
  <c r="C28" i="21"/>
  <c r="G36" i="15"/>
  <c r="G19" i="16"/>
  <c r="G21" i="16" s="1"/>
  <c r="D36" i="5"/>
  <c r="E10" i="21"/>
  <c r="E22" i="19" s="1"/>
  <c r="E19" i="16"/>
  <c r="E21" i="16" s="1"/>
  <c r="F24" i="21"/>
  <c r="F25" i="21" s="1"/>
  <c r="E36" i="15"/>
  <c r="E9" i="16"/>
  <c r="E32" i="15"/>
  <c r="E14" i="21"/>
  <c r="E28" i="21"/>
  <c r="G14" i="21"/>
  <c r="G28" i="21"/>
  <c r="D11" i="16" l="1"/>
  <c r="D17" i="21"/>
  <c r="D18" i="21" s="1"/>
  <c r="D34" i="15"/>
  <c r="D9" i="16"/>
  <c r="D32" i="15"/>
  <c r="D15" i="21"/>
  <c r="D21" i="16"/>
  <c r="D25" i="19"/>
  <c r="F25" i="19"/>
  <c r="E25" i="19"/>
  <c r="G25" i="19"/>
  <c r="C35" i="15"/>
  <c r="D16" i="21"/>
  <c r="C27" i="21"/>
  <c r="E36" i="5"/>
  <c r="D24" i="5"/>
  <c r="D47" i="5"/>
  <c r="B38" i="5"/>
  <c r="E11" i="16"/>
  <c r="E12" i="16" s="1"/>
  <c r="E34" i="15"/>
  <c r="E17" i="21"/>
  <c r="E18" i="21" s="1"/>
  <c r="G11" i="16"/>
  <c r="G12" i="16" s="1"/>
  <c r="G17" i="21"/>
  <c r="G18" i="21" s="1"/>
  <c r="G34" i="15"/>
  <c r="G34" i="5"/>
  <c r="F35" i="5"/>
  <c r="E15" i="21"/>
  <c r="C25" i="19"/>
  <c r="C11" i="16"/>
  <c r="C12" i="16" s="1"/>
  <c r="C17" i="21"/>
  <c r="C18" i="21" s="1"/>
  <c r="C34" i="15"/>
  <c r="F27" i="21"/>
  <c r="F35" i="15"/>
  <c r="G16" i="21"/>
  <c r="F34" i="15"/>
  <c r="F11" i="16"/>
  <c r="F24" i="19" s="1"/>
  <c r="F17" i="21"/>
  <c r="F18" i="21" s="1"/>
  <c r="G15" i="21"/>
  <c r="E16" i="21" l="1"/>
  <c r="D35" i="15"/>
  <c r="D24" i="19"/>
  <c r="D27" i="21"/>
  <c r="D19" i="21"/>
  <c r="D26" i="21" s="1"/>
  <c r="D9" i="17" s="1"/>
  <c r="D12" i="16"/>
  <c r="F12" i="16"/>
  <c r="D25" i="5"/>
  <c r="C24" i="19"/>
  <c r="G27" i="21"/>
  <c r="G24" i="19"/>
  <c r="G19" i="21"/>
  <c r="G26" i="21" s="1"/>
  <c r="G35" i="15"/>
  <c r="F36" i="5"/>
  <c r="E24" i="5"/>
  <c r="E25" i="5" s="1"/>
  <c r="E26" i="5" s="1"/>
  <c r="E38" i="5" s="1"/>
  <c r="E39" i="5" s="1"/>
  <c r="E47" i="5"/>
  <c r="D7" i="22"/>
  <c r="D5" i="22"/>
  <c r="D8" i="22"/>
  <c r="D25" i="15"/>
  <c r="D11" i="19"/>
  <c r="C19" i="21"/>
  <c r="C26" i="21" s="1"/>
  <c r="B39" i="5"/>
  <c r="F16" i="21"/>
  <c r="F19" i="21" s="1"/>
  <c r="F26" i="21" s="1"/>
  <c r="E24" i="19"/>
  <c r="E27" i="21"/>
  <c r="E35" i="15"/>
  <c r="E19" i="21"/>
  <c r="E26" i="21" s="1"/>
  <c r="G35" i="5"/>
  <c r="H34" i="5"/>
  <c r="D9" i="22" l="1"/>
  <c r="C23" i="6"/>
  <c r="D29" i="21"/>
  <c r="D37" i="15" s="1"/>
  <c r="D6" i="22"/>
  <c r="D10" i="22" s="1"/>
  <c r="E8" i="22"/>
  <c r="E6" i="22"/>
  <c r="E29" i="21"/>
  <c r="E37" i="15" s="1"/>
  <c r="E9" i="22"/>
  <c r="E25" i="15"/>
  <c r="E5" i="22"/>
  <c r="E9" i="17"/>
  <c r="E7" i="22"/>
  <c r="D23" i="6"/>
  <c r="E11" i="19"/>
  <c r="E40" i="5"/>
  <c r="E41" i="5"/>
  <c r="G36" i="5"/>
  <c r="F24" i="5"/>
  <c r="F25" i="5" s="1"/>
  <c r="F26" i="5" s="1"/>
  <c r="F38" i="5" s="1"/>
  <c r="F39" i="5" s="1"/>
  <c r="F47" i="5"/>
  <c r="F8" i="22"/>
  <c r="F6" i="22"/>
  <c r="F29" i="21"/>
  <c r="F37" i="15" s="1"/>
  <c r="F9" i="17"/>
  <c r="F25" i="15"/>
  <c r="F5" i="22"/>
  <c r="E23" i="6"/>
  <c r="F7" i="22"/>
  <c r="F9" i="22"/>
  <c r="F11" i="19"/>
  <c r="I34" i="5"/>
  <c r="H35" i="5"/>
  <c r="G8" i="22"/>
  <c r="G6" i="22"/>
  <c r="G29" i="21"/>
  <c r="G37" i="15" s="1"/>
  <c r="G9" i="17"/>
  <c r="G7" i="22"/>
  <c r="G5" i="22"/>
  <c r="G25" i="15"/>
  <c r="G9" i="22"/>
  <c r="F23" i="6"/>
  <c r="G11" i="19"/>
  <c r="B40" i="5"/>
  <c r="B41" i="5" s="1"/>
  <c r="B43" i="5" s="1"/>
  <c r="C9" i="22"/>
  <c r="C8" i="22"/>
  <c r="C5" i="22"/>
  <c r="C25" i="15"/>
  <c r="C9" i="17"/>
  <c r="C29" i="21"/>
  <c r="C37" i="15" s="1"/>
  <c r="C7" i="22"/>
  <c r="C6" i="22"/>
  <c r="B23" i="6"/>
  <c r="C11" i="19"/>
  <c r="D26" i="5"/>
  <c r="C10" i="22" l="1"/>
  <c r="G10" i="22"/>
  <c r="F10" i="22"/>
  <c r="C43" i="5"/>
  <c r="B44" i="5"/>
  <c r="G39" i="16"/>
  <c r="F39" i="16"/>
  <c r="D39" i="16"/>
  <c r="C39" i="16"/>
  <c r="E39" i="16"/>
  <c r="J34" i="5"/>
  <c r="I35" i="5"/>
  <c r="F40" i="5"/>
  <c r="F41" i="5" s="1"/>
  <c r="H36" i="5"/>
  <c r="G47" i="5"/>
  <c r="G24" i="5"/>
  <c r="G25" i="5" s="1"/>
  <c r="G26" i="5" s="1"/>
  <c r="G38" i="5" s="1"/>
  <c r="G39" i="5" s="1"/>
  <c r="D38" i="5"/>
  <c r="E10" i="22"/>
  <c r="C44" i="5" l="1"/>
  <c r="J35" i="5"/>
  <c r="K34" i="5"/>
  <c r="D39" i="5"/>
  <c r="B45" i="5"/>
  <c r="B50" i="5"/>
  <c r="B48" i="5"/>
  <c r="G40" i="5"/>
  <c r="G41" i="5" s="1"/>
  <c r="I36" i="5"/>
  <c r="H47" i="5"/>
  <c r="H24" i="5"/>
  <c r="H25" i="5" s="1"/>
  <c r="B46" i="5" l="1"/>
  <c r="B53" i="5" s="1"/>
  <c r="B49" i="5"/>
  <c r="H26" i="5"/>
  <c r="D40" i="5"/>
  <c r="D41" i="5" s="1"/>
  <c r="D43" i="5" s="1"/>
  <c r="L34" i="5"/>
  <c r="K35" i="5"/>
  <c r="J36" i="5"/>
  <c r="I24" i="5"/>
  <c r="I25" i="5" s="1"/>
  <c r="I26" i="5" s="1"/>
  <c r="I38" i="5" s="1"/>
  <c r="I39" i="5" s="1"/>
  <c r="I47" i="5"/>
  <c r="C45" i="5"/>
  <c r="C50" i="5"/>
  <c r="C48" i="5"/>
  <c r="C55" i="5" s="1"/>
  <c r="B55" i="5"/>
  <c r="L35" i="5" l="1"/>
  <c r="M34" i="5"/>
  <c r="E43" i="5"/>
  <c r="D44" i="5"/>
  <c r="H38" i="5"/>
  <c r="B54" i="5"/>
  <c r="K36" i="5"/>
  <c r="J47" i="5"/>
  <c r="J24" i="5"/>
  <c r="J25" i="5" s="1"/>
  <c r="C46" i="5"/>
  <c r="C53" i="5" s="1"/>
  <c r="C49" i="5"/>
  <c r="C54" i="5" s="1"/>
  <c r="I40" i="5"/>
  <c r="I41" i="5" s="1"/>
  <c r="H39" i="5" l="1"/>
  <c r="L36" i="5"/>
  <c r="K24" i="5"/>
  <c r="K25" i="5" s="1"/>
  <c r="K26" i="5" s="1"/>
  <c r="K38" i="5" s="1"/>
  <c r="K39" i="5" s="1"/>
  <c r="K47" i="5"/>
  <c r="J26" i="5"/>
  <c r="D45" i="5"/>
  <c r="D50" i="5"/>
  <c r="D48" i="5"/>
  <c r="F43" i="5"/>
  <c r="E44" i="5"/>
  <c r="B28" i="6"/>
  <c r="M35" i="5"/>
  <c r="B22" i="6" s="1"/>
  <c r="C24" i="15" s="1"/>
  <c r="C8" i="17" s="1"/>
  <c r="N34" i="5"/>
  <c r="D46" i="5" l="1"/>
  <c r="D53" i="5" s="1"/>
  <c r="D49" i="5"/>
  <c r="N35" i="5"/>
  <c r="O34" i="5"/>
  <c r="J38" i="5"/>
  <c r="E45" i="5"/>
  <c r="E50" i="5"/>
  <c r="E48" i="5"/>
  <c r="E55" i="5" s="1"/>
  <c r="K40" i="5"/>
  <c r="K41" i="5" s="1"/>
  <c r="G43" i="5"/>
  <c r="F44" i="5"/>
  <c r="M36" i="5"/>
  <c r="L24" i="5"/>
  <c r="L25" i="5" s="1"/>
  <c r="L26" i="5" s="1"/>
  <c r="L38" i="5" s="1"/>
  <c r="L39" i="5" s="1"/>
  <c r="L47" i="5"/>
  <c r="D55" i="5"/>
  <c r="H40" i="5"/>
  <c r="H41" i="5"/>
  <c r="E46" i="5" l="1"/>
  <c r="E53" i="5" s="1"/>
  <c r="E49" i="5"/>
  <c r="E54" i="5" s="1"/>
  <c r="H43" i="5"/>
  <c r="G44" i="5"/>
  <c r="N36" i="5"/>
  <c r="B29" i="6"/>
  <c r="C14" i="16" s="1"/>
  <c r="M24" i="5"/>
  <c r="M47" i="5"/>
  <c r="F45" i="5"/>
  <c r="F50" i="5"/>
  <c r="F48" i="5"/>
  <c r="O35" i="5"/>
  <c r="P34" i="5"/>
  <c r="D54" i="5"/>
  <c r="L40" i="5"/>
  <c r="L41" i="5" s="1"/>
  <c r="J39" i="5"/>
  <c r="F55" i="5" l="1"/>
  <c r="G45" i="5"/>
  <c r="G50" i="5"/>
  <c r="G48" i="5"/>
  <c r="G55" i="5" s="1"/>
  <c r="I43" i="5"/>
  <c r="H44" i="5"/>
  <c r="J40" i="5"/>
  <c r="J41" i="5" s="1"/>
  <c r="F46" i="5"/>
  <c r="F53" i="5" s="1"/>
  <c r="F49" i="5"/>
  <c r="F54" i="5" s="1"/>
  <c r="B35" i="6"/>
  <c r="M25" i="5"/>
  <c r="B15" i="6"/>
  <c r="C9" i="15" s="1"/>
  <c r="O36" i="5"/>
  <c r="N47" i="5"/>
  <c r="N24" i="5"/>
  <c r="P35" i="5"/>
  <c r="Q34" i="5"/>
  <c r="C25" i="18" l="1"/>
  <c r="C33" i="16"/>
  <c r="B9" i="11"/>
  <c r="G46" i="5"/>
  <c r="G53" i="5" s="1"/>
  <c r="G49" i="5"/>
  <c r="Q35" i="5"/>
  <c r="R34" i="5"/>
  <c r="N25" i="5"/>
  <c r="P36" i="5"/>
  <c r="O24" i="5"/>
  <c r="O25" i="5" s="1"/>
  <c r="O26" i="5" s="1"/>
  <c r="O38" i="5" s="1"/>
  <c r="O39" i="5" s="1"/>
  <c r="O47" i="5"/>
  <c r="H45" i="5"/>
  <c r="H50" i="5"/>
  <c r="H48" i="5"/>
  <c r="J43" i="5"/>
  <c r="I44" i="5"/>
  <c r="M26" i="5"/>
  <c r="B12" i="6"/>
  <c r="I45" i="5" l="1"/>
  <c r="I50" i="5"/>
  <c r="I48" i="5"/>
  <c r="I55" i="5" s="1"/>
  <c r="N26" i="5"/>
  <c r="K43" i="5"/>
  <c r="J44" i="5"/>
  <c r="H55" i="5"/>
  <c r="R35" i="5"/>
  <c r="S34" i="5"/>
  <c r="H46" i="5"/>
  <c r="H53" i="5" s="1"/>
  <c r="H49" i="5"/>
  <c r="H54" i="5" s="1"/>
  <c r="G54" i="5"/>
  <c r="O40" i="5"/>
  <c r="O41" i="5" s="1"/>
  <c r="C10" i="15"/>
  <c r="B13" i="7"/>
  <c r="B7" i="7"/>
  <c r="B10" i="11"/>
  <c r="B12" i="11" s="1"/>
  <c r="Q36" i="5"/>
  <c r="P24" i="5"/>
  <c r="P47" i="5"/>
  <c r="M38" i="5"/>
  <c r="B17" i="6"/>
  <c r="C12" i="15" s="1"/>
  <c r="C30" i="15" s="1"/>
  <c r="L43" i="5" l="1"/>
  <c r="K44" i="5"/>
  <c r="N38" i="5"/>
  <c r="M39" i="5"/>
  <c r="B21" i="6"/>
  <c r="J45" i="5"/>
  <c r="J50" i="5"/>
  <c r="J48" i="5"/>
  <c r="P25" i="5"/>
  <c r="R36" i="5"/>
  <c r="Q24" i="5"/>
  <c r="Q25" i="5" s="1"/>
  <c r="Q26" i="5" s="1"/>
  <c r="Q38" i="5" s="1"/>
  <c r="Q39" i="5" s="1"/>
  <c r="Q47" i="5"/>
  <c r="T34" i="5"/>
  <c r="S35" i="5"/>
  <c r="I46" i="5"/>
  <c r="I53" i="5" s="1"/>
  <c r="I49" i="5"/>
  <c r="J55" i="5" l="1"/>
  <c r="Q40" i="5"/>
  <c r="Q41" i="5" s="1"/>
  <c r="S36" i="5"/>
  <c r="R47" i="5"/>
  <c r="R24" i="5"/>
  <c r="R25" i="5" s="1"/>
  <c r="R26" i="5" s="1"/>
  <c r="R38" i="5" s="1"/>
  <c r="R39" i="5" s="1"/>
  <c r="K45" i="5"/>
  <c r="K50" i="5"/>
  <c r="K48" i="5"/>
  <c r="K55" i="5" s="1"/>
  <c r="J46" i="5"/>
  <c r="J53" i="5" s="1"/>
  <c r="J49" i="5"/>
  <c r="J54" i="5" s="1"/>
  <c r="M40" i="5"/>
  <c r="M41" i="5" s="1"/>
  <c r="M43" i="5" s="1"/>
  <c r="N39" i="5"/>
  <c r="P26" i="5"/>
  <c r="L44" i="5"/>
  <c r="T35" i="5"/>
  <c r="U34" i="5"/>
  <c r="C20" i="15"/>
  <c r="C26" i="15" s="1"/>
  <c r="B24" i="6"/>
  <c r="I54" i="5"/>
  <c r="M44" i="5" l="1"/>
  <c r="P38" i="5"/>
  <c r="N40" i="5"/>
  <c r="N41" i="5" s="1"/>
  <c r="N43" i="5" s="1"/>
  <c r="B7" i="13"/>
  <c r="B5" i="13"/>
  <c r="B8" i="13"/>
  <c r="B25" i="6"/>
  <c r="B26" i="6" s="1"/>
  <c r="B6" i="13"/>
  <c r="R40" i="5"/>
  <c r="R41" i="5"/>
  <c r="C27" i="15"/>
  <c r="C29" i="15" s="1"/>
  <c r="V34" i="5"/>
  <c r="U35" i="5"/>
  <c r="T36" i="5"/>
  <c r="S24" i="5"/>
  <c r="S47" i="5"/>
  <c r="L45" i="5"/>
  <c r="L50" i="5"/>
  <c r="L48" i="5"/>
  <c r="L55" i="5" s="1"/>
  <c r="K46" i="5"/>
  <c r="K53" i="5" s="1"/>
  <c r="K49" i="5"/>
  <c r="K54" i="5" s="1"/>
  <c r="O43" i="5" l="1"/>
  <c r="N44" i="5"/>
  <c r="B8" i="7"/>
  <c r="B4" i="14"/>
  <c r="B31" i="6"/>
  <c r="C13" i="7"/>
  <c r="L46" i="5"/>
  <c r="L53" i="5" s="1"/>
  <c r="L49" i="5"/>
  <c r="L54" i="5" s="1"/>
  <c r="S25" i="5"/>
  <c r="M45" i="5"/>
  <c r="M50" i="5"/>
  <c r="B38" i="6" s="1"/>
  <c r="M48" i="5"/>
  <c r="M55" i="5" s="1"/>
  <c r="P39" i="5"/>
  <c r="U36" i="5"/>
  <c r="T24" i="5"/>
  <c r="T25" i="5" s="1"/>
  <c r="T26" i="5" s="1"/>
  <c r="T38" i="5" s="1"/>
  <c r="T39" i="5" s="1"/>
  <c r="T47" i="5"/>
  <c r="W34" i="5"/>
  <c r="V35" i="5"/>
  <c r="C28" i="15"/>
  <c r="C15" i="18" l="1"/>
  <c r="C17" i="18" s="1"/>
  <c r="C7" i="19"/>
  <c r="C7" i="17"/>
  <c r="C12" i="17" s="1"/>
  <c r="C29" i="17" s="1"/>
  <c r="C31" i="17" s="1"/>
  <c r="X34" i="5"/>
  <c r="W35" i="5"/>
  <c r="C36" i="16"/>
  <c r="B15" i="13"/>
  <c r="B7" i="14"/>
  <c r="B16" i="13"/>
  <c r="B22" i="11"/>
  <c r="B25" i="11" s="1"/>
  <c r="K13" i="7"/>
  <c r="I6" i="7"/>
  <c r="N45" i="5"/>
  <c r="N50" i="5"/>
  <c r="N48" i="5"/>
  <c r="N55" i="5" s="1"/>
  <c r="M46" i="5"/>
  <c r="M53" i="5" s="1"/>
  <c r="B41" i="6" s="1"/>
  <c r="I9" i="7" s="1"/>
  <c r="M49" i="5"/>
  <c r="O44" i="5"/>
  <c r="S26" i="5"/>
  <c r="T40" i="5"/>
  <c r="T41" i="5" s="1"/>
  <c r="V36" i="5"/>
  <c r="U47" i="5"/>
  <c r="U24" i="5"/>
  <c r="P40" i="5"/>
  <c r="P41" i="5" s="1"/>
  <c r="P43" i="5" s="1"/>
  <c r="B32" i="6"/>
  <c r="Q43" i="5" l="1"/>
  <c r="P44" i="5"/>
  <c r="X35" i="5"/>
  <c r="Y34" i="5"/>
  <c r="N46" i="5"/>
  <c r="N53" i="5" s="1"/>
  <c r="N49" i="5"/>
  <c r="N54" i="5" s="1"/>
  <c r="C7" i="16"/>
  <c r="C13" i="16" s="1"/>
  <c r="C33" i="17"/>
  <c r="D30" i="17"/>
  <c r="C32" i="17"/>
  <c r="C9" i="19" s="1"/>
  <c r="B33" i="6"/>
  <c r="B5" i="11"/>
  <c r="B36" i="6"/>
  <c r="S38" i="5"/>
  <c r="D14" i="18"/>
  <c r="C25" i="16"/>
  <c r="C26" i="16" s="1"/>
  <c r="O45" i="5"/>
  <c r="O50" i="5"/>
  <c r="O48" i="5"/>
  <c r="O55" i="5" s="1"/>
  <c r="U25" i="5"/>
  <c r="N6" i="14"/>
  <c r="B37" i="6"/>
  <c r="M54" i="5"/>
  <c r="W36" i="5"/>
  <c r="V24" i="5"/>
  <c r="V25" i="5" s="1"/>
  <c r="V26" i="5" s="1"/>
  <c r="V38" i="5" s="1"/>
  <c r="V39" i="5" s="1"/>
  <c r="V47" i="5"/>
  <c r="C34" i="16" l="1"/>
  <c r="B42" i="6"/>
  <c r="I13" i="7"/>
  <c r="I4" i="7"/>
  <c r="B11" i="13"/>
  <c r="B12" i="13"/>
  <c r="B10" i="13"/>
  <c r="B7" i="11"/>
  <c r="B13" i="11" s="1"/>
  <c r="U26" i="5"/>
  <c r="R43" i="5"/>
  <c r="Q44" i="5"/>
  <c r="V40" i="5"/>
  <c r="V41" i="5" s="1"/>
  <c r="X36" i="5"/>
  <c r="W24" i="5"/>
  <c r="W25" i="5" s="1"/>
  <c r="W26" i="5" s="1"/>
  <c r="W38" i="5" s="1"/>
  <c r="W39" i="5" s="1"/>
  <c r="W47" i="5"/>
  <c r="O46" i="5"/>
  <c r="O53" i="5" s="1"/>
  <c r="O49" i="5"/>
  <c r="O54" i="5" s="1"/>
  <c r="C23" i="18"/>
  <c r="C27" i="16"/>
  <c r="C28" i="16" s="1"/>
  <c r="C8" i="19" s="1"/>
  <c r="B34" i="6"/>
  <c r="B13" i="13"/>
  <c r="B18" i="11"/>
  <c r="B21" i="11" s="1"/>
  <c r="C35" i="16"/>
  <c r="I5" i="7"/>
  <c r="C13" i="19"/>
  <c r="J13" i="7"/>
  <c r="B6" i="14"/>
  <c r="B14" i="13"/>
  <c r="B43" i="6"/>
  <c r="S39" i="5"/>
  <c r="C28" i="6"/>
  <c r="Y35" i="5"/>
  <c r="C22" i="6" s="1"/>
  <c r="D24" i="15" s="1"/>
  <c r="D8" i="17" s="1"/>
  <c r="Z34" i="5"/>
  <c r="P45" i="5"/>
  <c r="P50" i="5"/>
  <c r="P48" i="5"/>
  <c r="P55" i="5" s="1"/>
  <c r="C38" i="16"/>
  <c r="B9" i="7"/>
  <c r="U38" i="5" l="1"/>
  <c r="W40" i="5"/>
  <c r="W41" i="5" s="1"/>
  <c r="B9" i="13"/>
  <c r="B16" i="11"/>
  <c r="B5" i="14"/>
  <c r="B17" i="11"/>
  <c r="S40" i="5"/>
  <c r="S41" i="5" s="1"/>
  <c r="S43" i="5" s="1"/>
  <c r="Y36" i="5"/>
  <c r="X47" i="5"/>
  <c r="X24" i="5"/>
  <c r="X25" i="5" s="1"/>
  <c r="X26" i="5" s="1"/>
  <c r="X38" i="5" s="1"/>
  <c r="X39" i="5" s="1"/>
  <c r="B17" i="13"/>
  <c r="Z35" i="5"/>
  <c r="AA34" i="5"/>
  <c r="R44" i="5"/>
  <c r="B8" i="11"/>
  <c r="N5" i="14"/>
  <c r="P46" i="5"/>
  <c r="P53" i="5" s="1"/>
  <c r="P49" i="5"/>
  <c r="P54" i="5" s="1"/>
  <c r="Q45" i="5"/>
  <c r="Q50" i="5"/>
  <c r="Q48" i="5"/>
  <c r="Q55" i="5" s="1"/>
  <c r="C24" i="18"/>
  <c r="C26" i="18" s="1"/>
  <c r="C12" i="19" s="1"/>
  <c r="C27" i="18"/>
  <c r="C10" i="19" s="1"/>
  <c r="T43" i="5" l="1"/>
  <c r="S44" i="5"/>
  <c r="R45" i="5"/>
  <c r="R50" i="5"/>
  <c r="R48" i="5"/>
  <c r="R55" i="5" s="1"/>
  <c r="AB34" i="5"/>
  <c r="AA35" i="5"/>
  <c r="N4" i="14"/>
  <c r="Q46" i="5"/>
  <c r="Q53" i="5" s="1"/>
  <c r="Q49" i="5"/>
  <c r="Q54" i="5" s="1"/>
  <c r="X40" i="5"/>
  <c r="X41" i="5" s="1"/>
  <c r="C29" i="6"/>
  <c r="D14" i="16" s="1"/>
  <c r="Z36" i="5"/>
  <c r="Y24" i="5"/>
  <c r="Y47" i="5"/>
  <c r="U39" i="5"/>
  <c r="C35" i="6" l="1"/>
  <c r="Y25" i="5"/>
  <c r="C15" i="6"/>
  <c r="D9" i="15" s="1"/>
  <c r="AA36" i="5"/>
  <c r="Z24" i="5"/>
  <c r="Z47" i="5"/>
  <c r="AB35" i="5"/>
  <c r="AC34" i="5"/>
  <c r="R46" i="5"/>
  <c r="R53" i="5" s="1"/>
  <c r="R49" i="5"/>
  <c r="R54" i="5" s="1"/>
  <c r="U40" i="5"/>
  <c r="U41" i="5"/>
  <c r="U43" i="5" s="1"/>
  <c r="S45" i="5"/>
  <c r="S50" i="5"/>
  <c r="S48" i="5"/>
  <c r="S55" i="5" s="1"/>
  <c r="T44" i="5"/>
  <c r="V43" i="5" l="1"/>
  <c r="U44" i="5"/>
  <c r="AD34" i="5"/>
  <c r="AC35" i="5"/>
  <c r="S46" i="5"/>
  <c r="S53" i="5" s="1"/>
  <c r="S49" i="5"/>
  <c r="S54" i="5" s="1"/>
  <c r="T45" i="5"/>
  <c r="T50" i="5"/>
  <c r="T48" i="5"/>
  <c r="T55" i="5" s="1"/>
  <c r="Z25" i="5"/>
  <c r="AB36" i="5"/>
  <c r="AA47" i="5"/>
  <c r="AA24" i="5"/>
  <c r="AA25" i="5" s="1"/>
  <c r="AA26" i="5" s="1"/>
  <c r="AA38" i="5" s="1"/>
  <c r="AA39" i="5" s="1"/>
  <c r="Y26" i="5"/>
  <c r="C12" i="6"/>
  <c r="C9" i="11"/>
  <c r="D33" i="16"/>
  <c r="D25" i="18"/>
  <c r="D10" i="15" l="1"/>
  <c r="C10" i="11"/>
  <c r="C12" i="11" s="1"/>
  <c r="C7" i="7"/>
  <c r="B14" i="7"/>
  <c r="AA40" i="5"/>
  <c r="AA41" i="5"/>
  <c r="T46" i="5"/>
  <c r="T53" i="5" s="1"/>
  <c r="T49" i="5"/>
  <c r="T54" i="5" s="1"/>
  <c r="AC36" i="5"/>
  <c r="AB24" i="5"/>
  <c r="AB25" i="5" s="1"/>
  <c r="AB26" i="5" s="1"/>
  <c r="AB38" i="5" s="1"/>
  <c r="AB39" i="5" s="1"/>
  <c r="AB47" i="5"/>
  <c r="Y38" i="5"/>
  <c r="C17" i="6"/>
  <c r="D12" i="15" s="1"/>
  <c r="D30" i="15" s="1"/>
  <c r="Z26" i="5"/>
  <c r="AD35" i="5"/>
  <c r="AE34" i="5"/>
  <c r="U45" i="5"/>
  <c r="U50" i="5"/>
  <c r="U48" i="5"/>
  <c r="U55" i="5" s="1"/>
  <c r="V44" i="5"/>
  <c r="W43" i="5"/>
  <c r="U46" i="5" l="1"/>
  <c r="U53" i="5" s="1"/>
  <c r="U49" i="5"/>
  <c r="U54" i="5" s="1"/>
  <c r="AE35" i="5"/>
  <c r="AF34" i="5"/>
  <c r="AD36" i="5"/>
  <c r="AC47" i="5"/>
  <c r="AC24" i="5"/>
  <c r="Z38" i="5"/>
  <c r="X43" i="5"/>
  <c r="W44" i="5"/>
  <c r="V45" i="5"/>
  <c r="V50" i="5"/>
  <c r="V48" i="5"/>
  <c r="V55" i="5" s="1"/>
  <c r="Y39" i="5"/>
  <c r="C21" i="6"/>
  <c r="AB40" i="5"/>
  <c r="AB41" i="5" s="1"/>
  <c r="D20" i="15" l="1"/>
  <c r="D26" i="15" s="1"/>
  <c r="C24" i="6"/>
  <c r="AC25" i="5"/>
  <c r="Y40" i="5"/>
  <c r="Y41" i="5" s="1"/>
  <c r="Y43" i="5" s="1"/>
  <c r="AE36" i="5"/>
  <c r="AD47" i="5"/>
  <c r="AD24" i="5"/>
  <c r="AD25" i="5" s="1"/>
  <c r="AD26" i="5" s="1"/>
  <c r="AD38" i="5" s="1"/>
  <c r="AD39" i="5" s="1"/>
  <c r="V46" i="5"/>
  <c r="V53" i="5" s="1"/>
  <c r="V49" i="5"/>
  <c r="V54" i="5" s="1"/>
  <c r="AG34" i="5"/>
  <c r="AF35" i="5"/>
  <c r="W45" i="5"/>
  <c r="W50" i="5"/>
  <c r="W48" i="5"/>
  <c r="W55" i="5" s="1"/>
  <c r="X44" i="5"/>
  <c r="Z39" i="5"/>
  <c r="Y44" i="5" l="1"/>
  <c r="AF36" i="5"/>
  <c r="AE24" i="5"/>
  <c r="AE47" i="5"/>
  <c r="X45" i="5"/>
  <c r="X50" i="5"/>
  <c r="X48" i="5"/>
  <c r="X55" i="5" s="1"/>
  <c r="W46" i="5"/>
  <c r="W53" i="5" s="1"/>
  <c r="W49" i="5"/>
  <c r="W54" i="5" s="1"/>
  <c r="AH34" i="5"/>
  <c r="AG35" i="5"/>
  <c r="AC26" i="5"/>
  <c r="Z40" i="5"/>
  <c r="Z41" i="5"/>
  <c r="Z43" i="5" s="1"/>
  <c r="C6" i="13"/>
  <c r="C5" i="13"/>
  <c r="C7" i="13"/>
  <c r="C8" i="13"/>
  <c r="C25" i="6"/>
  <c r="C26" i="6" s="1"/>
  <c r="AD40" i="5"/>
  <c r="AD41" i="5" s="1"/>
  <c r="D27" i="15"/>
  <c r="D29" i="15" s="1"/>
  <c r="D28" i="15"/>
  <c r="C14" i="7" l="1"/>
  <c r="C4" i="14"/>
  <c r="C8" i="7"/>
  <c r="C31" i="6"/>
  <c r="AI34" i="5"/>
  <c r="AH35" i="5"/>
  <c r="Z44" i="5"/>
  <c r="AA43" i="5"/>
  <c r="D15" i="18"/>
  <c r="D17" i="18" s="1"/>
  <c r="D7" i="17"/>
  <c r="D12" i="17" s="1"/>
  <c r="D29" i="17" s="1"/>
  <c r="D31" i="17" s="1"/>
  <c r="X46" i="5"/>
  <c r="X53" i="5" s="1"/>
  <c r="X49" i="5"/>
  <c r="X54" i="5" s="1"/>
  <c r="AC38" i="5"/>
  <c r="AE25" i="5"/>
  <c r="AG36" i="5"/>
  <c r="AF24" i="5"/>
  <c r="AF25" i="5" s="1"/>
  <c r="AF26" i="5" s="1"/>
  <c r="AF38" i="5" s="1"/>
  <c r="AF39" i="5" s="1"/>
  <c r="AF47" i="5"/>
  <c r="Y45" i="5"/>
  <c r="Y50" i="5"/>
  <c r="C38" i="6" s="1"/>
  <c r="Y48" i="5"/>
  <c r="Y55" i="5" s="1"/>
  <c r="D7" i="19" l="1"/>
  <c r="D25" i="16"/>
  <c r="D26" i="16" s="1"/>
  <c r="E14" i="18"/>
  <c r="AB43" i="5"/>
  <c r="AA44" i="5"/>
  <c r="AE26" i="5"/>
  <c r="Z45" i="5"/>
  <c r="Z50" i="5"/>
  <c r="Z48" i="5"/>
  <c r="Z55" i="5" s="1"/>
  <c r="AC39" i="5"/>
  <c r="AI35" i="5"/>
  <c r="AJ34" i="5"/>
  <c r="D36" i="16"/>
  <c r="C7" i="14"/>
  <c r="C16" i="13"/>
  <c r="C22" i="11"/>
  <c r="C25" i="11" s="1"/>
  <c r="C15" i="13"/>
  <c r="K14" i="7"/>
  <c r="J6" i="7"/>
  <c r="C32" i="6"/>
  <c r="AF40" i="5"/>
  <c r="AF41" i="5" s="1"/>
  <c r="AH36" i="5"/>
  <c r="AG24" i="5"/>
  <c r="AG25" i="5" s="1"/>
  <c r="AG26" i="5" s="1"/>
  <c r="AG38" i="5" s="1"/>
  <c r="AG39" i="5" s="1"/>
  <c r="AG47" i="5"/>
  <c r="Y46" i="5"/>
  <c r="Y53" i="5" s="1"/>
  <c r="C41" i="6" s="1"/>
  <c r="J9" i="7" s="1"/>
  <c r="Y49" i="5"/>
  <c r="D33" i="17"/>
  <c r="E30" i="17"/>
  <c r="D7" i="16"/>
  <c r="D13" i="16" s="1"/>
  <c r="C33" i="6"/>
  <c r="D32" i="17" l="1"/>
  <c r="D9" i="19" s="1"/>
  <c r="Z46" i="5"/>
  <c r="Z53" i="5" s="1"/>
  <c r="Z49" i="5"/>
  <c r="Z54" i="5" s="1"/>
  <c r="AG40" i="5"/>
  <c r="AG41" i="5" s="1"/>
  <c r="D38" i="16"/>
  <c r="C9" i="7"/>
  <c r="AI36" i="5"/>
  <c r="AH24" i="5"/>
  <c r="AH25" i="5" s="1"/>
  <c r="AH26" i="5" s="1"/>
  <c r="AH38" i="5" s="1"/>
  <c r="AH39" i="5" s="1"/>
  <c r="AH47" i="5"/>
  <c r="O6" i="14"/>
  <c r="AE38" i="5"/>
  <c r="C34" i="6"/>
  <c r="AA45" i="5"/>
  <c r="AA50" i="5"/>
  <c r="AA48" i="5"/>
  <c r="AA55" i="5" s="1"/>
  <c r="AJ35" i="5"/>
  <c r="AK34" i="5"/>
  <c r="AB44" i="5"/>
  <c r="C5" i="11"/>
  <c r="C36" i="6"/>
  <c r="Y54" i="5"/>
  <c r="C37" i="6"/>
  <c r="AC40" i="5"/>
  <c r="AC41" i="5" s="1"/>
  <c r="AC43" i="5" s="1"/>
  <c r="D23" i="18"/>
  <c r="D27" i="16"/>
  <c r="D28" i="16" s="1"/>
  <c r="D8" i="19" s="1"/>
  <c r="AD43" i="5" l="1"/>
  <c r="AC44" i="5"/>
  <c r="C6" i="14"/>
  <c r="J14" i="7"/>
  <c r="D13" i="19"/>
  <c r="C14" i="13"/>
  <c r="J5" i="7"/>
  <c r="C18" i="11"/>
  <c r="C21" i="11" s="1"/>
  <c r="D35" i="16"/>
  <c r="C43" i="6"/>
  <c r="C13" i="13"/>
  <c r="D24" i="18"/>
  <c r="D26" i="18" s="1"/>
  <c r="D12" i="19" s="1"/>
  <c r="D27" i="18"/>
  <c r="D10" i="19" s="1"/>
  <c r="AA46" i="5"/>
  <c r="AA53" i="5" s="1"/>
  <c r="AA49" i="5"/>
  <c r="AA54" i="5" s="1"/>
  <c r="D34" i="16"/>
  <c r="I14" i="7"/>
  <c r="J4" i="7"/>
  <c r="C42" i="6"/>
  <c r="C7" i="11"/>
  <c r="C13" i="11" s="1"/>
  <c r="C10" i="13"/>
  <c r="C12" i="13"/>
  <c r="C11" i="13"/>
  <c r="AB45" i="5"/>
  <c r="AB50" i="5"/>
  <c r="AB48" i="5"/>
  <c r="AB55" i="5" s="1"/>
  <c r="D28" i="6"/>
  <c r="AK35" i="5"/>
  <c r="D22" i="6" s="1"/>
  <c r="E24" i="15" s="1"/>
  <c r="E8" i="17" s="1"/>
  <c r="AL34" i="5"/>
  <c r="AH40" i="5"/>
  <c r="AH41" i="5" s="1"/>
  <c r="AJ36" i="5"/>
  <c r="AI24" i="5"/>
  <c r="AI25" i="5" s="1"/>
  <c r="AI26" i="5" s="1"/>
  <c r="AI38" i="5" s="1"/>
  <c r="AI39" i="5" s="1"/>
  <c r="AI47" i="5"/>
  <c r="AE39" i="5"/>
  <c r="C8" i="11" l="1"/>
  <c r="AK36" i="5"/>
  <c r="AJ47" i="5"/>
  <c r="AJ24" i="5"/>
  <c r="AJ25" i="5" s="1"/>
  <c r="AJ26" i="5" s="1"/>
  <c r="AE40" i="5"/>
  <c r="AE41" i="5"/>
  <c r="AE43" i="5" s="1"/>
  <c r="AB46" i="5"/>
  <c r="AB53" i="5" s="1"/>
  <c r="AB49" i="5"/>
  <c r="AB54" i="5" s="1"/>
  <c r="AI40" i="5"/>
  <c r="AI41" i="5" s="1"/>
  <c r="C17" i="13"/>
  <c r="AC45" i="5"/>
  <c r="AC50" i="5"/>
  <c r="AC48" i="5"/>
  <c r="AC55" i="5" s="1"/>
  <c r="O5" i="14"/>
  <c r="AL35" i="5"/>
  <c r="AM34" i="5"/>
  <c r="C17" i="11"/>
  <c r="C5" i="14"/>
  <c r="C9" i="13"/>
  <c r="C16" i="11"/>
  <c r="AD44" i="5"/>
  <c r="O4" i="14" l="1"/>
  <c r="D29" i="6"/>
  <c r="E14" i="16" s="1"/>
  <c r="AL36" i="5"/>
  <c r="AK47" i="5"/>
  <c r="AK24" i="5"/>
  <c r="AN34" i="5"/>
  <c r="AM35" i="5"/>
  <c r="AD45" i="5"/>
  <c r="AD50" i="5"/>
  <c r="AD48" i="5"/>
  <c r="AD55" i="5" s="1"/>
  <c r="AF43" i="5"/>
  <c r="AE44" i="5"/>
  <c r="AC46" i="5"/>
  <c r="AC53" i="5" s="1"/>
  <c r="AC49" i="5"/>
  <c r="AC54" i="5" s="1"/>
  <c r="AJ38" i="5"/>
  <c r="AN35" i="5" l="1"/>
  <c r="AO34" i="5"/>
  <c r="D35" i="6"/>
  <c r="AG43" i="5"/>
  <c r="AF44" i="5"/>
  <c r="AM36" i="5"/>
  <c r="AL47" i="5"/>
  <c r="AL24" i="5"/>
  <c r="AD46" i="5"/>
  <c r="AD53" i="5" s="1"/>
  <c r="AD49" i="5"/>
  <c r="AD54" i="5" s="1"/>
  <c r="AJ39" i="5"/>
  <c r="AK25" i="5"/>
  <c r="D15" i="6"/>
  <c r="E9" i="15" s="1"/>
  <c r="AE45" i="5"/>
  <c r="AE50" i="5"/>
  <c r="AE48" i="5"/>
  <c r="AE55" i="5" s="1"/>
  <c r="E33" i="16" l="1"/>
  <c r="E25" i="18"/>
  <c r="D9" i="11"/>
  <c r="AN36" i="5"/>
  <c r="AM24" i="5"/>
  <c r="AM25" i="5" s="1"/>
  <c r="AM26" i="5" s="1"/>
  <c r="AM38" i="5" s="1"/>
  <c r="AM39" i="5" s="1"/>
  <c r="AM47" i="5"/>
  <c r="AL25" i="5"/>
  <c r="AE46" i="5"/>
  <c r="AE53" i="5" s="1"/>
  <c r="AE49" i="5"/>
  <c r="AE54" i="5" s="1"/>
  <c r="AF45" i="5"/>
  <c r="AF50" i="5"/>
  <c r="AF48" i="5"/>
  <c r="AF55" i="5" s="1"/>
  <c r="AJ40" i="5"/>
  <c r="AJ41" i="5" s="1"/>
  <c r="AK26" i="5"/>
  <c r="D12" i="6"/>
  <c r="AH43" i="5"/>
  <c r="AG44" i="5"/>
  <c r="AO35" i="5"/>
  <c r="AP34" i="5"/>
  <c r="AP35" i="5" l="1"/>
  <c r="AQ34" i="5"/>
  <c r="AF46" i="5"/>
  <c r="AF53" i="5" s="1"/>
  <c r="AF49" i="5"/>
  <c r="AF54" i="5" s="1"/>
  <c r="AL26" i="5"/>
  <c r="AK38" i="5"/>
  <c r="D17" i="6"/>
  <c r="E12" i="15" s="1"/>
  <c r="E30" i="15" s="1"/>
  <c r="AM40" i="5"/>
  <c r="AM41" i="5" s="1"/>
  <c r="AG45" i="5"/>
  <c r="AG50" i="5"/>
  <c r="AG48" i="5"/>
  <c r="AG55" i="5" s="1"/>
  <c r="AI43" i="5"/>
  <c r="AH44" i="5"/>
  <c r="E10" i="15"/>
  <c r="D10" i="11"/>
  <c r="D12" i="11" s="1"/>
  <c r="B15" i="7"/>
  <c r="D7" i="7"/>
  <c r="AO36" i="5"/>
  <c r="AN47" i="5"/>
  <c r="AN24" i="5"/>
  <c r="AK39" i="5" l="1"/>
  <c r="D21" i="6"/>
  <c r="AH45" i="5"/>
  <c r="AH50" i="5"/>
  <c r="AH48" i="5"/>
  <c r="AH55" i="5" s="1"/>
  <c r="AL38" i="5"/>
  <c r="AJ43" i="5"/>
  <c r="AI44" i="5"/>
  <c r="AN25" i="5"/>
  <c r="AG46" i="5"/>
  <c r="AG53" i="5" s="1"/>
  <c r="AG49" i="5"/>
  <c r="AG54" i="5" s="1"/>
  <c r="AP36" i="5"/>
  <c r="AO47" i="5"/>
  <c r="AO24" i="5"/>
  <c r="AO25" i="5" s="1"/>
  <c r="AO26" i="5" s="1"/>
  <c r="AO38" i="5" s="1"/>
  <c r="AO39" i="5" s="1"/>
  <c r="AQ35" i="5"/>
  <c r="AR34" i="5"/>
  <c r="AS34" i="5" l="1"/>
  <c r="AR35" i="5"/>
  <c r="AN26" i="5"/>
  <c r="AI45" i="5"/>
  <c r="AI50" i="5"/>
  <c r="AI48" i="5"/>
  <c r="AI55" i="5" s="1"/>
  <c r="AJ44" i="5"/>
  <c r="AO40" i="5"/>
  <c r="AO41" i="5" s="1"/>
  <c r="AL39" i="5"/>
  <c r="AQ36" i="5"/>
  <c r="AP24" i="5"/>
  <c r="AP25" i="5" s="1"/>
  <c r="AP26" i="5" s="1"/>
  <c r="AP38" i="5" s="1"/>
  <c r="AP39" i="5" s="1"/>
  <c r="AP47" i="5"/>
  <c r="AH46" i="5"/>
  <c r="AH53" i="5" s="1"/>
  <c r="AH49" i="5"/>
  <c r="AH54" i="5" s="1"/>
  <c r="E20" i="15"/>
  <c r="E26" i="15" s="1"/>
  <c r="D24" i="6"/>
  <c r="AK40" i="5"/>
  <c r="AK41" i="5" s="1"/>
  <c r="AK43" i="5" s="1"/>
  <c r="AJ45" i="5" l="1"/>
  <c r="AJ50" i="5"/>
  <c r="AJ48" i="5"/>
  <c r="AJ55" i="5" s="1"/>
  <c r="AP40" i="5"/>
  <c r="AP41" i="5" s="1"/>
  <c r="AR36" i="5"/>
  <c r="AQ24" i="5"/>
  <c r="AQ25" i="5" s="1"/>
  <c r="AQ26" i="5" s="1"/>
  <c r="AQ38" i="5" s="1"/>
  <c r="AQ39" i="5" s="1"/>
  <c r="AQ47" i="5"/>
  <c r="AI46" i="5"/>
  <c r="AI53" i="5" s="1"/>
  <c r="AI49" i="5"/>
  <c r="AI54" i="5" s="1"/>
  <c r="AK44" i="5"/>
  <c r="AL40" i="5"/>
  <c r="AL41" i="5" s="1"/>
  <c r="AL43" i="5" s="1"/>
  <c r="AN38" i="5"/>
  <c r="D7" i="13"/>
  <c r="D5" i="13"/>
  <c r="D8" i="13"/>
  <c r="D25" i="6"/>
  <c r="D26" i="6" s="1"/>
  <c r="D6" i="13"/>
  <c r="E27" i="15"/>
  <c r="E29" i="15" s="1"/>
  <c r="AT34" i="5"/>
  <c r="AS35" i="5"/>
  <c r="D4" i="14" l="1"/>
  <c r="C15" i="7"/>
  <c r="D8" i="7"/>
  <c r="D31" i="6"/>
  <c r="AM43" i="5"/>
  <c r="AL44" i="5"/>
  <c r="AQ40" i="5"/>
  <c r="AQ41" i="5"/>
  <c r="AS36" i="5"/>
  <c r="AR24" i="5"/>
  <c r="AR25" i="5" s="1"/>
  <c r="AR47" i="5"/>
  <c r="AK45" i="5"/>
  <c r="AK50" i="5"/>
  <c r="D38" i="6" s="1"/>
  <c r="AK48" i="5"/>
  <c r="AK55" i="5" s="1"/>
  <c r="AT35" i="5"/>
  <c r="AU34" i="5"/>
  <c r="AN39" i="5"/>
  <c r="E28" i="15"/>
  <c r="AJ46" i="5"/>
  <c r="AJ53" i="5" s="1"/>
  <c r="AJ49" i="5"/>
  <c r="AJ54" i="5" s="1"/>
  <c r="D7" i="14" l="1"/>
  <c r="E36" i="16"/>
  <c r="D15" i="13"/>
  <c r="D16" i="13"/>
  <c r="D22" i="11"/>
  <c r="D25" i="11" s="1"/>
  <c r="K6" i="7"/>
  <c r="K15" i="7"/>
  <c r="AK46" i="5"/>
  <c r="AK53" i="5" s="1"/>
  <c r="D41" i="6" s="1"/>
  <c r="K9" i="7" s="1"/>
  <c r="AK49" i="5"/>
  <c r="E15" i="18"/>
  <c r="E17" i="18" s="1"/>
  <c r="E7" i="17"/>
  <c r="E12" i="17" s="1"/>
  <c r="E29" i="17" s="1"/>
  <c r="E31" i="17" s="1"/>
  <c r="AN40" i="5"/>
  <c r="AN41" i="5" s="1"/>
  <c r="AN43" i="5" s="1"/>
  <c r="AR26" i="5"/>
  <c r="AV34" i="5"/>
  <c r="AU35" i="5"/>
  <c r="AT36" i="5"/>
  <c r="AS47" i="5"/>
  <c r="AS24" i="5"/>
  <c r="AS25" i="5" s="1"/>
  <c r="AS26" i="5" s="1"/>
  <c r="AS38" i="5" s="1"/>
  <c r="AS39" i="5" s="1"/>
  <c r="D32" i="6"/>
  <c r="AL45" i="5"/>
  <c r="AL50" i="5"/>
  <c r="AL48" i="5"/>
  <c r="AL55" i="5" s="1"/>
  <c r="AM44" i="5"/>
  <c r="AO43" i="5" l="1"/>
  <c r="AN44" i="5"/>
  <c r="AM45" i="5"/>
  <c r="AM50" i="5"/>
  <c r="AM48" i="5"/>
  <c r="AM55" i="5" s="1"/>
  <c r="F14" i="18"/>
  <c r="E25" i="16"/>
  <c r="E26" i="16" s="1"/>
  <c r="AU36" i="5"/>
  <c r="AT24" i="5"/>
  <c r="AT25" i="5" s="1"/>
  <c r="AT47" i="5"/>
  <c r="D37" i="6"/>
  <c r="AK54" i="5"/>
  <c r="AV35" i="5"/>
  <c r="AW34" i="5"/>
  <c r="AL46" i="5"/>
  <c r="AL53" i="5" s="1"/>
  <c r="AL49" i="5"/>
  <c r="AL54" i="5" s="1"/>
  <c r="AR38" i="5"/>
  <c r="D5" i="11"/>
  <c r="D36" i="6"/>
  <c r="AS40" i="5"/>
  <c r="AS41" i="5" s="1"/>
  <c r="E7" i="16"/>
  <c r="E13" i="16" s="1"/>
  <c r="E33" i="17"/>
  <c r="F30" i="17"/>
  <c r="D33" i="6"/>
  <c r="E7" i="19"/>
  <c r="P6" i="14"/>
  <c r="D34" i="6" l="1"/>
  <c r="AM46" i="5"/>
  <c r="AM53" i="5" s="1"/>
  <c r="AM49" i="5"/>
  <c r="AM54" i="5" s="1"/>
  <c r="J15" i="7"/>
  <c r="D13" i="13"/>
  <c r="E13" i="19"/>
  <c r="D6" i="14"/>
  <c r="E35" i="16"/>
  <c r="D18" i="11"/>
  <c r="D21" i="11" s="1"/>
  <c r="D14" i="13"/>
  <c r="D43" i="6"/>
  <c r="K5" i="7"/>
  <c r="AN45" i="5"/>
  <c r="AN50" i="5"/>
  <c r="AN48" i="5"/>
  <c r="AN55" i="5" s="1"/>
  <c r="E34" i="16"/>
  <c r="K4" i="7"/>
  <c r="D42" i="6"/>
  <c r="I15" i="7"/>
  <c r="AP43" i="5"/>
  <c r="AO44" i="5"/>
  <c r="D11" i="13"/>
  <c r="D12" i="13"/>
  <c r="D7" i="11"/>
  <c r="D13" i="11" s="1"/>
  <c r="D10" i="13"/>
  <c r="AT26" i="5"/>
  <c r="E38" i="16"/>
  <c r="D9" i="7"/>
  <c r="AR39" i="5"/>
  <c r="AV36" i="5"/>
  <c r="AU47" i="5"/>
  <c r="AU24" i="5"/>
  <c r="AU25" i="5" s="1"/>
  <c r="AU26" i="5" s="1"/>
  <c r="AU38" i="5" s="1"/>
  <c r="AU39" i="5" s="1"/>
  <c r="E23" i="18"/>
  <c r="E27" i="16"/>
  <c r="E28" i="16" s="1"/>
  <c r="E8" i="19" s="1"/>
  <c r="E32" i="17"/>
  <c r="E9" i="19" s="1"/>
  <c r="AX34" i="5"/>
  <c r="E28" i="6"/>
  <c r="AW35" i="5"/>
  <c r="E22" i="6" s="1"/>
  <c r="F24" i="15" s="1"/>
  <c r="F8" i="17" s="1"/>
  <c r="D8" i="11" l="1"/>
  <c r="D17" i="13"/>
  <c r="AU40" i="5"/>
  <c r="AU41" i="5" s="1"/>
  <c r="E24" i="18"/>
  <c r="E26" i="18" s="1"/>
  <c r="E12" i="19" s="1"/>
  <c r="E27" i="18"/>
  <c r="E10" i="19" s="1"/>
  <c r="AW36" i="5"/>
  <c r="AV47" i="5"/>
  <c r="AV24" i="5"/>
  <c r="AV25" i="5" s="1"/>
  <c r="AV26" i="5" s="1"/>
  <c r="AV38" i="5" s="1"/>
  <c r="AV39" i="5" s="1"/>
  <c r="AX35" i="5"/>
  <c r="AY34" i="5"/>
  <c r="AT38" i="5"/>
  <c r="P5" i="14"/>
  <c r="D5" i="14"/>
  <c r="D9" i="13"/>
  <c r="D16" i="11"/>
  <c r="D17" i="11"/>
  <c r="AN46" i="5"/>
  <c r="AN53" i="5" s="1"/>
  <c r="AN49" i="5"/>
  <c r="AN54" i="5" s="1"/>
  <c r="AR40" i="5"/>
  <c r="AR41" i="5" s="1"/>
  <c r="AO45" i="5"/>
  <c r="AO50" i="5"/>
  <c r="AO48" i="5"/>
  <c r="AO55" i="5" s="1"/>
  <c r="AQ43" i="5"/>
  <c r="AP44" i="5"/>
  <c r="AP45" i="5" l="1"/>
  <c r="AP50" i="5"/>
  <c r="AP48" i="5"/>
  <c r="AP55" i="5" s="1"/>
  <c r="AR43" i="5"/>
  <c r="AQ44" i="5"/>
  <c r="AV40" i="5"/>
  <c r="AV41" i="5" s="1"/>
  <c r="P4" i="14"/>
  <c r="AO46" i="5"/>
  <c r="AO53" i="5" s="1"/>
  <c r="AO49" i="5"/>
  <c r="AO54" i="5" s="1"/>
  <c r="E29" i="6"/>
  <c r="F14" i="16" s="1"/>
  <c r="AX36" i="5"/>
  <c r="AW47" i="5"/>
  <c r="AW24" i="5"/>
  <c r="AT39" i="5"/>
  <c r="AY35" i="5"/>
  <c r="AZ34" i="5"/>
  <c r="AT40" i="5" l="1"/>
  <c r="AT41" i="5"/>
  <c r="AW25" i="5"/>
  <c r="E15" i="6"/>
  <c r="F9" i="15" s="1"/>
  <c r="E35" i="6"/>
  <c r="AQ45" i="5"/>
  <c r="AQ50" i="5"/>
  <c r="AQ48" i="5"/>
  <c r="AQ55" i="5" s="1"/>
  <c r="AY36" i="5"/>
  <c r="AX24" i="5"/>
  <c r="AX47" i="5"/>
  <c r="AS43" i="5"/>
  <c r="AR44" i="5"/>
  <c r="AZ35" i="5"/>
  <c r="BA34" i="5"/>
  <c r="AP46" i="5"/>
  <c r="AP53" i="5" s="1"/>
  <c r="AP49" i="5"/>
  <c r="AP54" i="5" s="1"/>
  <c r="BA35" i="5" l="1"/>
  <c r="BB34" i="5"/>
  <c r="AQ46" i="5"/>
  <c r="AQ53" i="5" s="1"/>
  <c r="AQ49" i="5"/>
  <c r="AQ54" i="5" s="1"/>
  <c r="AR45" i="5"/>
  <c r="AR50" i="5"/>
  <c r="AR48" i="5"/>
  <c r="AR55" i="5" s="1"/>
  <c r="E9" i="11"/>
  <c r="F33" i="16"/>
  <c r="F25" i="18"/>
  <c r="AT43" i="5"/>
  <c r="AS44" i="5"/>
  <c r="AW26" i="5"/>
  <c r="E12" i="6"/>
  <c r="AX25" i="5"/>
  <c r="AZ36" i="5"/>
  <c r="AY24" i="5"/>
  <c r="AY25" i="5" s="1"/>
  <c r="AY26" i="5" s="1"/>
  <c r="AY38" i="5" s="1"/>
  <c r="AY39" i="5" s="1"/>
  <c r="AY47" i="5"/>
  <c r="BA36" i="5" l="1"/>
  <c r="AZ24" i="5"/>
  <c r="AZ25" i="5" s="1"/>
  <c r="AZ26" i="5" s="1"/>
  <c r="AZ38" i="5" s="1"/>
  <c r="AZ39" i="5" s="1"/>
  <c r="AZ47" i="5"/>
  <c r="BB35" i="5"/>
  <c r="BC34" i="5"/>
  <c r="AX26" i="5"/>
  <c r="F10" i="15"/>
  <c r="E7" i="7"/>
  <c r="B16" i="7"/>
  <c r="E10" i="11"/>
  <c r="E12" i="11" s="1"/>
  <c r="AW38" i="5"/>
  <c r="E17" i="6"/>
  <c r="F12" i="15" s="1"/>
  <c r="F30" i="15" s="1"/>
  <c r="AS45" i="5"/>
  <c r="AS50" i="5"/>
  <c r="AS48" i="5"/>
  <c r="AS55" i="5" s="1"/>
  <c r="AU43" i="5"/>
  <c r="AT44" i="5"/>
  <c r="AY40" i="5"/>
  <c r="AY41" i="5" s="1"/>
  <c r="AR46" i="5"/>
  <c r="AR53" i="5" s="1"/>
  <c r="AR49" i="5"/>
  <c r="AR54" i="5" s="1"/>
  <c r="AX38" i="5" l="1"/>
  <c r="BD34" i="5"/>
  <c r="BC35" i="5"/>
  <c r="AV43" i="5"/>
  <c r="AU44" i="5"/>
  <c r="AS46" i="5"/>
  <c r="AS53" i="5" s="1"/>
  <c r="AS49" i="5"/>
  <c r="AS54" i="5" s="1"/>
  <c r="AW39" i="5"/>
  <c r="E21" i="6"/>
  <c r="AZ40" i="5"/>
  <c r="AZ41" i="5" s="1"/>
  <c r="BB36" i="5"/>
  <c r="BA47" i="5"/>
  <c r="BA24" i="5"/>
  <c r="AT45" i="5"/>
  <c r="AT50" i="5"/>
  <c r="AT48" i="5"/>
  <c r="AT55" i="5" s="1"/>
  <c r="F20" i="15" l="1"/>
  <c r="F26" i="15" s="1"/>
  <c r="E24" i="6"/>
  <c r="AW40" i="5"/>
  <c r="AW41" i="5"/>
  <c r="AW43" i="5" s="1"/>
  <c r="AT46" i="5"/>
  <c r="AT53" i="5" s="1"/>
  <c r="AT49" i="5"/>
  <c r="AT54" i="5" s="1"/>
  <c r="BA25" i="5"/>
  <c r="AU45" i="5"/>
  <c r="AU50" i="5"/>
  <c r="AU48" i="5"/>
  <c r="AU55" i="5" s="1"/>
  <c r="AV44" i="5"/>
  <c r="BC36" i="5"/>
  <c r="BB24" i="5"/>
  <c r="BB25" i="5" s="1"/>
  <c r="BB26" i="5" s="1"/>
  <c r="BB38" i="5" s="1"/>
  <c r="BB39" i="5" s="1"/>
  <c r="BB47" i="5"/>
  <c r="BD35" i="5"/>
  <c r="BE34" i="5"/>
  <c r="AX39" i="5"/>
  <c r="AW44" i="5" l="1"/>
  <c r="BA26" i="5"/>
  <c r="AU46" i="5"/>
  <c r="AU53" i="5" s="1"/>
  <c r="AU49" i="5"/>
  <c r="AU54" i="5" s="1"/>
  <c r="E8" i="13"/>
  <c r="E6" i="13"/>
  <c r="E25" i="6"/>
  <c r="E26" i="6" s="1"/>
  <c r="E7" i="13"/>
  <c r="E5" i="13"/>
  <c r="BE35" i="5"/>
  <c r="BF34" i="5"/>
  <c r="BB40" i="5"/>
  <c r="BB41" i="5" s="1"/>
  <c r="BD36" i="5"/>
  <c r="BC24" i="5"/>
  <c r="BC47" i="5"/>
  <c r="AV45" i="5"/>
  <c r="AV50" i="5"/>
  <c r="AV48" i="5"/>
  <c r="AV55" i="5" s="1"/>
  <c r="AX40" i="5"/>
  <c r="AX41" i="5" s="1"/>
  <c r="AX43" i="5" s="1"/>
  <c r="F27" i="15"/>
  <c r="F29" i="15" s="1"/>
  <c r="F28" i="15" l="1"/>
  <c r="AY43" i="5"/>
  <c r="AX44" i="5"/>
  <c r="E4" i="14"/>
  <c r="C16" i="7"/>
  <c r="E8" i="7"/>
  <c r="E31" i="6"/>
  <c r="BC25" i="5"/>
  <c r="F7" i="17"/>
  <c r="F12" i="17" s="1"/>
  <c r="F29" i="17" s="1"/>
  <c r="F31" i="17" s="1"/>
  <c r="F15" i="18"/>
  <c r="F17" i="18" s="1"/>
  <c r="BE36" i="5"/>
  <c r="BD24" i="5"/>
  <c r="BD25" i="5" s="1"/>
  <c r="BD26" i="5" s="1"/>
  <c r="BD38" i="5" s="1"/>
  <c r="BD39" i="5" s="1"/>
  <c r="BD47" i="5"/>
  <c r="BG34" i="5"/>
  <c r="BF35" i="5"/>
  <c r="BA38" i="5"/>
  <c r="AV46" i="5"/>
  <c r="AV53" i="5" s="1"/>
  <c r="AV49" i="5"/>
  <c r="AV54" i="5" s="1"/>
  <c r="AW45" i="5"/>
  <c r="AW50" i="5"/>
  <c r="E38" i="6" s="1"/>
  <c r="AW48" i="5"/>
  <c r="AW55" i="5" s="1"/>
  <c r="F7" i="19" l="1"/>
  <c r="E16" i="13"/>
  <c r="E15" i="13"/>
  <c r="L6" i="7"/>
  <c r="E7" i="14"/>
  <c r="E22" i="11"/>
  <c r="E25" i="11" s="1"/>
  <c r="F36" i="16"/>
  <c r="K16" i="7"/>
  <c r="G30" i="17"/>
  <c r="F33" i="17"/>
  <c r="E33" i="6"/>
  <c r="F7" i="16"/>
  <c r="F13" i="16" s="1"/>
  <c r="BA39" i="5"/>
  <c r="BC26" i="5"/>
  <c r="F25" i="16"/>
  <c r="F26" i="16" s="1"/>
  <c r="G14" i="18"/>
  <c r="BH34" i="5"/>
  <c r="BG35" i="5"/>
  <c r="E32" i="6"/>
  <c r="BD40" i="5"/>
  <c r="BD41" i="5" s="1"/>
  <c r="BF36" i="5"/>
  <c r="BE47" i="5"/>
  <c r="BE24" i="5"/>
  <c r="BE25" i="5" s="1"/>
  <c r="BE26" i="5" s="1"/>
  <c r="BE38" i="5" s="1"/>
  <c r="BE39" i="5" s="1"/>
  <c r="AX45" i="5"/>
  <c r="AX50" i="5"/>
  <c r="AX48" i="5"/>
  <c r="AX55" i="5" s="1"/>
  <c r="AW46" i="5"/>
  <c r="AW53" i="5" s="1"/>
  <c r="E41" i="6" s="1"/>
  <c r="L9" i="7" s="1"/>
  <c r="AW49" i="5"/>
  <c r="AZ43" i="5"/>
  <c r="AY44" i="5"/>
  <c r="E9" i="7" l="1"/>
  <c r="F38" i="16"/>
  <c r="AY45" i="5"/>
  <c r="AY50" i="5"/>
  <c r="AY48" i="5"/>
  <c r="AY55" i="5" s="1"/>
  <c r="BG36" i="5"/>
  <c r="BF24" i="5"/>
  <c r="BF25" i="5" s="1"/>
  <c r="BF26" i="5" s="1"/>
  <c r="BF38" i="5" s="1"/>
  <c r="BF39" i="5" s="1"/>
  <c r="BF47" i="5"/>
  <c r="BC38" i="5"/>
  <c r="BE40" i="5"/>
  <c r="BE41" i="5" s="1"/>
  <c r="F23" i="18"/>
  <c r="F27" i="16"/>
  <c r="F28" i="16" s="1"/>
  <c r="F8" i="19" s="1"/>
  <c r="AZ44" i="5"/>
  <c r="E37" i="6"/>
  <c r="AW54" i="5"/>
  <c r="BH35" i="5"/>
  <c r="BI34" i="5"/>
  <c r="Q6" i="14"/>
  <c r="E5" i="11"/>
  <c r="E36" i="6"/>
  <c r="BA40" i="5"/>
  <c r="BA41" i="5" s="1"/>
  <c r="BA43" i="5" s="1"/>
  <c r="E34" i="6"/>
  <c r="AX46" i="5"/>
  <c r="AX53" i="5" s="1"/>
  <c r="AX49" i="5"/>
  <c r="AX54" i="5" s="1"/>
  <c r="F32" i="17"/>
  <c r="F9" i="19" s="1"/>
  <c r="BB43" i="5" l="1"/>
  <c r="BA44" i="5"/>
  <c r="BF40" i="5"/>
  <c r="BF41" i="5" s="1"/>
  <c r="L4" i="7"/>
  <c r="E42" i="6"/>
  <c r="F34" i="16"/>
  <c r="I16" i="7"/>
  <c r="E7" i="11"/>
  <c r="E13" i="11" s="1"/>
  <c r="E12" i="13"/>
  <c r="E10" i="13"/>
  <c r="E11" i="13"/>
  <c r="AY46" i="5"/>
  <c r="AY53" i="5" s="1"/>
  <c r="AY49" i="5"/>
  <c r="AY54" i="5" s="1"/>
  <c r="F27" i="18"/>
  <c r="F10" i="19" s="1"/>
  <c r="F24" i="18"/>
  <c r="F26" i="18" s="1"/>
  <c r="F12" i="19" s="1"/>
  <c r="BH36" i="5"/>
  <c r="BG24" i="5"/>
  <c r="BG25" i="5" s="1"/>
  <c r="BG26" i="5" s="1"/>
  <c r="BG38" i="5" s="1"/>
  <c r="BG39" i="5" s="1"/>
  <c r="BG47" i="5"/>
  <c r="E6" i="14"/>
  <c r="F35" i="16"/>
  <c r="E14" i="13"/>
  <c r="F13" i="19"/>
  <c r="L5" i="7"/>
  <c r="E43" i="6"/>
  <c r="E13" i="13"/>
  <c r="J16" i="7"/>
  <c r="E18" i="11"/>
  <c r="E21" i="11" s="1"/>
  <c r="F28" i="6"/>
  <c r="BI35" i="5"/>
  <c r="F22" i="6" s="1"/>
  <c r="G24" i="15" s="1"/>
  <c r="G8" i="17" s="1"/>
  <c r="BC39" i="5"/>
  <c r="AZ45" i="5"/>
  <c r="AZ50" i="5"/>
  <c r="AZ48" i="5"/>
  <c r="AZ55" i="5" s="1"/>
  <c r="E17" i="11" l="1"/>
  <c r="E5" i="14"/>
  <c r="E9" i="13"/>
  <c r="E16" i="11"/>
  <c r="BI36" i="5"/>
  <c r="BH24" i="5"/>
  <c r="BH25" i="5" s="1"/>
  <c r="BH26" i="5" s="1"/>
  <c r="BH38" i="5" s="1"/>
  <c r="BH39" i="5" s="1"/>
  <c r="BH47" i="5"/>
  <c r="AZ46" i="5"/>
  <c r="AZ53" i="5" s="1"/>
  <c r="AZ49" i="5"/>
  <c r="AZ54" i="5" s="1"/>
  <c r="BG40" i="5"/>
  <c r="BG41" i="5" s="1"/>
  <c r="BC40" i="5"/>
  <c r="BC41" i="5"/>
  <c r="BC43" i="5" s="1"/>
  <c r="Q5" i="14"/>
  <c r="E8" i="11"/>
  <c r="BA45" i="5"/>
  <c r="BA50" i="5"/>
  <c r="BA48" i="5"/>
  <c r="BA55" i="5" s="1"/>
  <c r="E17" i="13"/>
  <c r="BB44" i="5"/>
  <c r="BD43" i="5" l="1"/>
  <c r="BC44" i="5"/>
  <c r="BH40" i="5"/>
  <c r="BH41" i="5" s="1"/>
  <c r="BB45" i="5"/>
  <c r="BB50" i="5"/>
  <c r="BB48" i="5"/>
  <c r="BB55" i="5" s="1"/>
  <c r="F29" i="6"/>
  <c r="G14" i="16" s="1"/>
  <c r="BI24" i="5"/>
  <c r="BI47" i="5"/>
  <c r="Q4" i="14"/>
  <c r="BA46" i="5"/>
  <c r="BA53" i="5" s="1"/>
  <c r="BA49" i="5"/>
  <c r="BA54" i="5" s="1"/>
  <c r="BB46" i="5" l="1"/>
  <c r="BB53" i="5" s="1"/>
  <c r="BB49" i="5"/>
  <c r="BB54" i="5" s="1"/>
  <c r="F35" i="6"/>
  <c r="BC45" i="5"/>
  <c r="BC50" i="5"/>
  <c r="BC48" i="5"/>
  <c r="BC55" i="5" s="1"/>
  <c r="BI25" i="5"/>
  <c r="F15" i="6"/>
  <c r="G9" i="15" s="1"/>
  <c r="BE43" i="5"/>
  <c r="BD44" i="5"/>
  <c r="G33" i="16" l="1"/>
  <c r="G25" i="18"/>
  <c r="F9" i="11"/>
  <c r="BF43" i="5"/>
  <c r="BE44" i="5"/>
  <c r="BI26" i="5"/>
  <c r="F12" i="6"/>
  <c r="BC46" i="5"/>
  <c r="BC53" i="5" s="1"/>
  <c r="BC49" i="5"/>
  <c r="BC54" i="5" s="1"/>
  <c r="BD45" i="5"/>
  <c r="BD50" i="5"/>
  <c r="BD48" i="5"/>
  <c r="BD55" i="5" s="1"/>
  <c r="BG43" i="5" l="1"/>
  <c r="BF44" i="5"/>
  <c r="BD46" i="5"/>
  <c r="BD53" i="5" s="1"/>
  <c r="BD49" i="5"/>
  <c r="BD54" i="5" s="1"/>
  <c r="B17" i="7"/>
  <c r="F10" i="11"/>
  <c r="F12" i="11" s="1"/>
  <c r="G10" i="15"/>
  <c r="F7" i="7"/>
  <c r="BI38" i="5"/>
  <c r="F17" i="6"/>
  <c r="G12" i="15" s="1"/>
  <c r="G30" i="15" s="1"/>
  <c r="BE45" i="5"/>
  <c r="BE50" i="5"/>
  <c r="BE48" i="5"/>
  <c r="BE55" i="5" s="1"/>
  <c r="BI39" i="5" l="1"/>
  <c r="F21" i="6"/>
  <c r="BE46" i="5"/>
  <c r="BE53" i="5" s="1"/>
  <c r="BE49" i="5"/>
  <c r="BE54" i="5" s="1"/>
  <c r="BF45" i="5"/>
  <c r="BF50" i="5"/>
  <c r="BF48" i="5"/>
  <c r="BF55" i="5" s="1"/>
  <c r="BH43" i="5"/>
  <c r="BG44" i="5"/>
  <c r="BG45" i="5" l="1"/>
  <c r="BG50" i="5"/>
  <c r="BG48" i="5"/>
  <c r="BG55" i="5" s="1"/>
  <c r="BH44" i="5"/>
  <c r="BF46" i="5"/>
  <c r="BF53" i="5" s="1"/>
  <c r="BF49" i="5"/>
  <c r="BF54" i="5" s="1"/>
  <c r="G20" i="15"/>
  <c r="G26" i="15" s="1"/>
  <c r="F24" i="6"/>
  <c r="BI40" i="5"/>
  <c r="BI41" i="5" s="1"/>
  <c r="BI43" i="5" s="1"/>
  <c r="BI44" i="5" s="1"/>
  <c r="BI45" i="5" l="1"/>
  <c r="BI50" i="5"/>
  <c r="BI48" i="5"/>
  <c r="G27" i="15"/>
  <c r="G29" i="15" s="1"/>
  <c r="BH45" i="5"/>
  <c r="BH50" i="5"/>
  <c r="BH48" i="5"/>
  <c r="BH55" i="5" s="1"/>
  <c r="F6" i="13"/>
  <c r="F5" i="13"/>
  <c r="F7" i="13"/>
  <c r="F8" i="13"/>
  <c r="F25" i="6"/>
  <c r="F26" i="6" s="1"/>
  <c r="BG46" i="5"/>
  <c r="BG53" i="5" s="1"/>
  <c r="BG49" i="5"/>
  <c r="BG54" i="5" s="1"/>
  <c r="C17" i="7" l="1"/>
  <c r="F8" i="7"/>
  <c r="F4" i="14"/>
  <c r="I4" i="14" s="1"/>
  <c r="F31" i="6"/>
  <c r="F32" i="6" s="1"/>
  <c r="BI46" i="5"/>
  <c r="BI53" i="5" s="1"/>
  <c r="BI49" i="5"/>
  <c r="C9" i="9"/>
  <c r="D9" i="9" s="1"/>
  <c r="BH46" i="5"/>
  <c r="BH53" i="5" s="1"/>
  <c r="BH49" i="5"/>
  <c r="BH54" i="5" s="1"/>
  <c r="G28" i="15"/>
  <c r="BI55" i="5"/>
  <c r="C6" i="9"/>
  <c r="D6" i="9" s="1"/>
  <c r="F38" i="6"/>
  <c r="C8" i="9"/>
  <c r="D8" i="9" s="1"/>
  <c r="G7" i="17" l="1"/>
  <c r="G12" i="17" s="1"/>
  <c r="G29" i="17" s="1"/>
  <c r="G31" i="17" s="1"/>
  <c r="G15" i="18"/>
  <c r="G17" i="18" s="1"/>
  <c r="G25" i="16" s="1"/>
  <c r="G26" i="16" s="1"/>
  <c r="G7" i="19"/>
  <c r="BI54" i="5"/>
  <c r="F37" i="6"/>
  <c r="C7" i="9"/>
  <c r="D7" i="9" s="1"/>
  <c r="F41" i="6"/>
  <c r="M9" i="7" s="1"/>
  <c r="C5" i="9"/>
  <c r="D5" i="9" s="1"/>
  <c r="F36" i="6"/>
  <c r="F5" i="11"/>
  <c r="I6" i="8"/>
  <c r="J6" i="8" s="1"/>
  <c r="I5" i="8"/>
  <c r="J5" i="8" s="1"/>
  <c r="I4" i="8"/>
  <c r="J4" i="8" s="1"/>
  <c r="F7" i="14"/>
  <c r="K17" i="7"/>
  <c r="G36" i="16"/>
  <c r="F15" i="13"/>
  <c r="M6" i="7"/>
  <c r="F22" i="11"/>
  <c r="F25" i="11" s="1"/>
  <c r="F16" i="13"/>
  <c r="G34" i="16" l="1"/>
  <c r="I17" i="7"/>
  <c r="F42" i="6"/>
  <c r="M4" i="7"/>
  <c r="G35" i="16"/>
  <c r="G13" i="19"/>
  <c r="F14" i="13"/>
  <c r="F18" i="11"/>
  <c r="F21" i="11" s="1"/>
  <c r="F13" i="13"/>
  <c r="F43" i="6"/>
  <c r="F6" i="14"/>
  <c r="J17" i="7"/>
  <c r="M5" i="7"/>
  <c r="F10" i="13"/>
  <c r="F12" i="13"/>
  <c r="F11" i="13"/>
  <c r="F7" i="11"/>
  <c r="F13" i="11" s="1"/>
  <c r="R6" i="14"/>
  <c r="I7" i="14"/>
  <c r="G23" i="18"/>
  <c r="G27" i="16"/>
  <c r="G33" i="17"/>
  <c r="G7" i="16"/>
  <c r="G13" i="16" s="1"/>
  <c r="F33" i="6"/>
  <c r="F5" i="14" l="1"/>
  <c r="F9" i="13"/>
  <c r="F16" i="11"/>
  <c r="F17" i="11"/>
  <c r="C11" i="9"/>
  <c r="D11" i="9" s="1"/>
  <c r="G38" i="16"/>
  <c r="F9" i="7"/>
  <c r="G28" i="16"/>
  <c r="G8" i="19" s="1"/>
  <c r="F34" i="6"/>
  <c r="F8" i="11"/>
  <c r="C12" i="9" s="1"/>
  <c r="D12" i="9" s="1"/>
  <c r="F17" i="13"/>
  <c r="G32" i="17"/>
  <c r="G9" i="19" s="1"/>
  <c r="G24" i="18"/>
  <c r="G26" i="18" s="1"/>
  <c r="G12" i="19" s="1"/>
  <c r="G27" i="18"/>
  <c r="G10" i="19" s="1"/>
  <c r="R5" i="14"/>
  <c r="I6" i="14"/>
  <c r="R4" i="14" l="1"/>
  <c r="I5" i="14"/>
</calcChain>
</file>

<file path=xl/sharedStrings.xml><?xml version="1.0" encoding="utf-8"?>
<sst xmlns="http://schemas.openxmlformats.org/spreadsheetml/2006/main" count="2293" uniqueCount="1638">
  <si>
    <t>Akkad Islamic Digital Bank — 5-Year Financial Model</t>
  </si>
  <si>
    <t>Rebuilt from market module and official Iraq/CBI market data. Start date: August 2026. Financing starts only after the first operating year.</t>
  </si>
  <si>
    <t>Model purpose</t>
  </si>
  <si>
    <t>CBI licensing and management planning financial model for a new Islamic digital bank in Iraq.</t>
  </si>
  <si>
    <t>Currency</t>
  </si>
  <si>
    <t>Iraqi Dinar (IQD). Main statements are shown in IQD billions unless stated otherwise.</t>
  </si>
  <si>
    <t>Operating start</t>
  </si>
  <si>
    <t>August 2026.</t>
  </si>
  <si>
    <t>Financing start rule</t>
  </si>
  <si>
    <t>No financing in first 12 months. Islamic financing starts from Month 13, after one full operating year.</t>
  </si>
  <si>
    <t>Enhancement scope</t>
  </si>
  <si>
    <t>Basel III, CBI prudential overlay, AAOIFI Islamic accounting treatment, and Iraq IFRS/CBI accounting basis added.</t>
  </si>
  <si>
    <t>Scenario basis</t>
  </si>
  <si>
    <t>Base case with conservative controls and separate scenario sensitivity.</t>
  </si>
  <si>
    <t>Important limitation</t>
  </si>
  <si>
    <t>This model is a planning tool. Final CBI submission should be reconciled to audited opening balances, final licensing timetable, approved product set, and CBI-specific templates.</t>
  </si>
  <si>
    <t>Source Register</t>
  </si>
  <si>
    <t>All key official/published sources used in this model. Links are provided as both clickable formulas and plain URLs.</t>
  </si>
  <si>
    <t>No.</t>
  </si>
  <si>
    <t>Source</t>
  </si>
  <si>
    <t>Authority / Publisher</t>
  </si>
  <si>
    <t>Used for</t>
  </si>
  <si>
    <t>Clickable link</t>
  </si>
  <si>
    <t>Plain URL</t>
  </si>
  <si>
    <t>National National National Financial Inclusion Strategy 2025–2029</t>
  </si>
  <si>
    <t>Central Bank of Iraq (CBI)</t>
  </si>
  <si>
    <t>Account ownership baseline, 2030 inclusion target, digital payments target, cash usage, formal borrowing, Islamic banking opportunity indicators.</t>
  </si>
  <si>
    <t>https://cbi.iq/static/uploads/up/file-175032973296039.pdf</t>
  </si>
  <si>
    <t>Digital Banks Standards Booklet 2026</t>
  </si>
  <si>
    <t>Digital bank capital requirements and regulatory thresholds used in model controls.</t>
  </si>
  <si>
    <t>https://cbi.iq/static/uploads/up/file-177625027894888.pdf</t>
  </si>
  <si>
    <t>CBI Strategic Achievements 2020–2025</t>
  </si>
  <si>
    <t>Banking sector deposits/assets, policy rate, reserve requirements, licensing and reform context.</t>
  </si>
  <si>
    <t>https://cbi.iq/static/uploads/up/file-177935854666319.pdf</t>
  </si>
  <si>
    <t>Detailed Assessment Guidelines for 2025 Standards</t>
  </si>
  <si>
    <t>Risk, liquidity, capital, infrastructure and evidence expectations for CBI assessment.</t>
  </si>
  <si>
    <t>https://cbi.iq/static/uploads/up/file-176050867224562.pdf</t>
  </si>
  <si>
    <t>Iraq Country Data</t>
  </si>
  <si>
    <t>World Bank</t>
  </si>
  <si>
    <t>GDP, GDP per capita, population, and macroeconomic indicators.</t>
  </si>
  <si>
    <t>https://data.worldbank.org/country/iraq</t>
  </si>
  <si>
    <t>Population, total — Iraq</t>
  </si>
  <si>
    <t>World Bank WDI</t>
  </si>
  <si>
    <t>Population baseline used for TAM/SAM/SOM and customer adoption calibration.</t>
  </si>
  <si>
    <t>https://data.worldbank.org/indicator/SP.POP.TOTL?locations=IQ</t>
  </si>
  <si>
    <t>Internet usage and mobile subscriptions</t>
  </si>
  <si>
    <t>ITU / World Bank</t>
  </si>
  <si>
    <t>Digital reach and mobile connectivity indicators.</t>
  </si>
  <si>
    <t>https://datahub.itu.int/data/</t>
  </si>
  <si>
    <t>Official exchange rate / CBI circular</t>
  </si>
  <si>
    <t>IQD/USD planning rate and currency reference.</t>
  </si>
  <si>
    <t>https://cbi.iq/static/uploads/up/file-177234689353483.pdf</t>
  </si>
  <si>
    <t>CBI Standards Booklet 2025</t>
  </si>
  <si>
    <t>Updated CBI capital, CAR, LCR, NSFR, resilience and assessment standards.</t>
  </si>
  <si>
    <t>https://cbi.iq/static/uploads/up/file-176050874125670.pdf</t>
  </si>
  <si>
    <t>Financial-plan projections, CAR/RWA, LCR/NSFR calculation and stress-testing assessment process.</t>
  </si>
  <si>
    <t>Basel III LCR standard</t>
  </si>
  <si>
    <t>Bank for International Settlements / BCBS</t>
  </si>
  <si>
    <t>Definition and purpose of Liquidity Coverage Ratio.</t>
  </si>
  <si>
    <t>https://www.bis.org/publ/bcbs238.pdf</t>
  </si>
  <si>
    <t>Basel III NSFR standard</t>
  </si>
  <si>
    <t>Definition and purpose of Net Stable Funding Ratio.</t>
  </si>
  <si>
    <t>https://www.bis.org/bcbs/publ/d295.pdf</t>
  </si>
  <si>
    <t>AAOIFI Accounting Standards</t>
  </si>
  <si>
    <t>AAOIFI</t>
  </si>
  <si>
    <t>AAOIFI Islamic-finance financial accounting standards including Murabaha, impairment/credit losses and risk reserves.</t>
  </si>
  <si>
    <t>https://aaoifi.com/accounting-standards-2/?lang=en</t>
  </si>
  <si>
    <t>AAOIFI Shariah Standards</t>
  </si>
  <si>
    <t>Shariah standards reference for Islamic products and contracts.</t>
  </si>
  <si>
    <t>https://aaoifi.com/shariah-standards-3/?lang=en</t>
  </si>
  <si>
    <t>Iraq IFRS jurisdiction profile</t>
  </si>
  <si>
    <t>IFRS Foundation</t>
  </si>
  <si>
    <t>Iraq banking-sector IFRS accounting basis and CBI IFRS requirement for banks.</t>
  </si>
  <si>
    <t>https://www.ifrs.org/use-around-the-world/use-of-ifrs-standards-by-jurisdiction/view-jurisdiction/iraq/</t>
  </si>
  <si>
    <t>IFSB Standards</t>
  </si>
  <si>
    <t>Islamic Financial Services Board</t>
  </si>
  <si>
    <t>Islamic prudential standards for capital adequacy and risk disclosures for Islamic financial institutions.</t>
  </si>
  <si>
    <t>https://www.ifsb.org/standards-page/</t>
  </si>
  <si>
    <t>Financial statements linkage</t>
  </si>
  <si>
    <t>Internal model</t>
  </si>
  <si>
    <t>Added detailed financial statements</t>
  </si>
  <si>
    <t>Annual_Summary, Monthly_Model, Assumptions</t>
  </si>
  <si>
    <t>Formula-linked; no new external market inputs.</t>
  </si>
  <si>
    <t>Accounting presentation</t>
  </si>
  <si>
    <t>Internal model policy</t>
  </si>
  <si>
    <t>ECL allowance and bank cash-flow presentation</t>
  </si>
  <si>
    <t>FS_Balance_Sheet / FS_Cash_Flows</t>
  </si>
  <si>
    <t>ECL treated as non-cash provision and contra-financing allowance.</t>
  </si>
  <si>
    <t>Regulatory condition</t>
  </si>
  <si>
    <t>CBI / model assumption</t>
  </si>
  <si>
    <t>No financing activity in first 12 months</t>
  </si>
  <si>
    <t>Assumptions!B7 / Monthly_Model financing flag</t>
  </si>
  <si>
    <t>Financing starts in Month 13 / August 2027.</t>
  </si>
  <si>
    <t>Financial statements</t>
  </si>
  <si>
    <t>Output</t>
  </si>
  <si>
    <t>Income Statement, Balance Sheet, Cash Flow, Shareholders' Equity</t>
  </si>
  <si>
    <t>FS_Income_Statement etc.</t>
  </si>
  <si>
    <t>Detailed five-year statements in IQD bn.</t>
  </si>
  <si>
    <t>AAOIFI FAS 30 — Impairment, Credit Losses and Onerous Commitments</t>
  </si>
  <si>
    <t>Detailed ECL staging, impairment, credit losses and onerous commitment provisioning.</t>
  </si>
  <si>
    <t>https://aaoifi.com/announcement/aaoifi-issues-financial-accounting-standard-30-impairment-credit-losses-and-onerous-commitments-officially-in-arabic/?lang=en</t>
  </si>
  <si>
    <t>AAOIFI Accounting Standards List</t>
  </si>
  <si>
    <t>FAS 28 Murabaha, FAS 30 impairment, FAS 35 risk reserves, FAS 36 first-time adoption and related Islamic accounting standards.</t>
  </si>
  <si>
    <t>Iraq financial reporting profile</t>
  </si>
  <si>
    <t>IFAC</t>
  </si>
  <si>
    <t>Iraq banking law accounting framework and CBI IFRS/IFRS 9 requirement for banks.</t>
  </si>
  <si>
    <t>https://www.ifac.org/about-ifac/membership/profile/iraq</t>
  </si>
  <si>
    <t>IFRS jurisdiction profiles</t>
  </si>
  <si>
    <t>Current global IFRS jurisdiction profile source and disclaimer on IFRS usage information.</t>
  </si>
  <si>
    <t>https://www.ifrs.org/use-around-the-world/use-of-ifrs-standards-by-jurisdiction/</t>
  </si>
  <si>
    <t>Provision module added</t>
  </si>
  <si>
    <t>Detailed ECL assumptions, staging module, sensitivity, accounting map and checklist added for CBI submission readiness.</t>
  </si>
  <si>
    <t>Internal: ECL_Assumptions / ECL_Module / ECL_Sensitivity / ECL_Accounting_Map / CBI_Provision_Checklist</t>
  </si>
  <si>
    <t>Controls for licensing digital banks in Iraq - 2026</t>
  </si>
  <si>
    <t>Direct reference to licensing requirements: capital, limits, governance, agents, and scope of services.</t>
  </si>
  <si>
    <t>Attached file from the user: 20260330_Regulations for Licensing Digital Banks_v12_AR.pdf</t>
  </si>
  <si>
    <t>Detailed assessment guide for the 2026 standards for digital banks</t>
  </si>
  <si>
    <t>Direct reference for detailed assessment requirements: technology, data, security, payments, AML, and business plan.</t>
  </si>
  <si>
    <t>User attached file: Quarterly Standard.pdf</t>
  </si>
  <si>
    <t>Assumptions &amp; Inputs</t>
  </si>
  <si>
    <t>Blue numbers are hardcoded inputs. Formulas in other sheets reference this page. Units are stated in each row.</t>
  </si>
  <si>
    <t>Control / input</t>
  </si>
  <si>
    <t>Value</t>
  </si>
  <si>
    <t>Unit</t>
  </si>
  <si>
    <t>Source / note</t>
  </si>
  <si>
    <t>Official?</t>
  </si>
  <si>
    <t>Model start date</t>
  </si>
  <si>
    <t>Date</t>
  </si>
  <si>
    <t>Management assumption</t>
  </si>
  <si>
    <t>No</t>
  </si>
  <si>
    <t>Model months</t>
  </si>
  <si>
    <t>Months</t>
  </si>
  <si>
    <t>Five-year forecast from Aug 2026 to Jul 2031</t>
  </si>
  <si>
    <t>Financing start month</t>
  </si>
  <si>
    <t>Month number</t>
  </si>
  <si>
    <t>CBI rule: no financing until after one year of operations.</t>
  </si>
  <si>
    <t>Corporate income tax</t>
  </si>
  <si>
    <t>%</t>
  </si>
  <si>
    <t>Planning assumption based on Iraqi corporate tax treatment for bank profits.</t>
  </si>
  <si>
    <t>IQD per USD</t>
  </si>
  <si>
    <t>IQD/USD</t>
  </si>
  <si>
    <t>CBI rate reference / official sale rate</t>
  </si>
  <si>
    <t>Yes</t>
  </si>
  <si>
    <t>Legal reserve ratio</t>
  </si>
  <si>
    <t>% of deposits</t>
  </si>
  <si>
    <t>CBI strategic achievements show legal reserve from 10% to 18%. Conservative model uses 18%.</t>
  </si>
  <si>
    <t>Minimum CAR</t>
  </si>
  <si>
    <t>CBI digital bank standard reference.</t>
  </si>
  <si>
    <t>Internal target CAR</t>
  </si>
  <si>
    <t>Management buffer over minimum.</t>
  </si>
  <si>
    <t>Target LCR</t>
  </si>
  <si>
    <t>Internal target above 100% regulatory baseline.</t>
  </si>
  <si>
    <t>Target NSFR</t>
  </si>
  <si>
    <t>Internal target.</t>
  </si>
  <si>
    <t>Minimum branches</t>
  </si>
  <si>
    <t>Branches</t>
  </si>
  <si>
    <t>CBI standards booklet 2025/2026 branch coverage requirement.</t>
  </si>
  <si>
    <t>ATM ratio</t>
  </si>
  <si>
    <t>ATM/customer</t>
  </si>
  <si>
    <t>CBI standards booklet: at least 1 ATM per 1,000 retail customers or CBI-defined ratio.</t>
  </si>
  <si>
    <t>ATM CAPEX per ATM</t>
  </si>
  <si>
    <t>IQD</t>
  </si>
  <si>
    <t>Management planning assumption. Replace with vendor quotes.</t>
  </si>
  <si>
    <t>Depreciation period</t>
  </si>
  <si>
    <t>Straight-line planning assumption for systems/IT/ATM assets.</t>
  </si>
  <si>
    <t>RWA weight — financing</t>
  </si>
  <si>
    <t>Conservative placeholder pending final CBI risk-weight treatment.</t>
  </si>
  <si>
    <t>RWA weight — fixed assets</t>
  </si>
  <si>
    <t>Conservative placeholder.</t>
  </si>
  <si>
    <t>LCR deposit outflow</t>
  </si>
  <si>
    <t>Conservative internal stress assumption.</t>
  </si>
  <si>
    <t>HQLA haircut</t>
  </si>
  <si>
    <t>Conservative haircut applied to cash/treasury liquidity.</t>
  </si>
  <si>
    <t>NSFR stable deposit weight</t>
  </si>
  <si>
    <t>Conservative internal assumption.</t>
  </si>
  <si>
    <t>NSFR financing RSF</t>
  </si>
  <si>
    <t>NSFR fixed asset RSF</t>
  </si>
  <si>
    <t>Market input</t>
  </si>
  <si>
    <t>Population 2024</t>
  </si>
  <si>
    <t>People</t>
  </si>
  <si>
    <t>World Bank country data / WDI.</t>
  </si>
  <si>
    <t>Adult share 15+ estimate</t>
  </si>
  <si>
    <t>Derived from 15–64 plus 65+ structure in market module; aligns with World Bank/UN age data.</t>
  </si>
  <si>
    <t>Yes / derived</t>
  </si>
  <si>
    <t>Internet penetration</t>
  </si>
  <si>
    <t>ITU / World Bank latest available published indicator for Iraq.</t>
  </si>
  <si>
    <t>Account ownership baseline</t>
  </si>
  <si>
    <t>CBI NFIS diagnostic baseline.</t>
  </si>
  <si>
    <t>Account ownership target 2030</t>
  </si>
  <si>
    <t>CBI NFIS target.</t>
  </si>
  <si>
    <t>Digital payments target 2030</t>
  </si>
  <si>
    <t>Monthly non-cash users</t>
  </si>
  <si>
    <t>CBI NFIS diagnostic.</t>
  </si>
  <si>
    <t>Cash for all daily expenses</t>
  </si>
  <si>
    <t>Formal loan use</t>
  </si>
  <si>
    <t>Recent borrowing</t>
  </si>
  <si>
    <t>Sharia suitability factor</t>
  </si>
  <si>
    <t>Management assumption grounded in CBI NFIS qualitative evidence on religious concerns around interest and Sharia compliance.</t>
  </si>
  <si>
    <t>Derived</t>
  </si>
  <si>
    <t>Population annual growth</t>
  </si>
  <si>
    <t>World Bank WDI population trend / market module projection assumption.</t>
  </si>
  <si>
    <t>GDP 2024</t>
  </si>
  <si>
    <t>US$ bn</t>
  </si>
  <si>
    <t>World Bank country data.</t>
  </si>
  <si>
    <t>GDP per capita 2024</t>
  </si>
  <si>
    <t>US$</t>
  </si>
  <si>
    <t>Banking sector deposits 2025 H1</t>
  </si>
  <si>
    <t>IQD bn</t>
  </si>
  <si>
    <t>CBI strategic achievements 2020–2025.</t>
  </si>
  <si>
    <t>Private bank deposits 2025 H1</t>
  </si>
  <si>
    <t>CBI policy rate</t>
  </si>
  <si>
    <t>Base liquidity yield</t>
  </si>
  <si>
    <t>Management conservative assumption below/near CBI policy reference.</t>
  </si>
  <si>
    <t>Capital tranche</t>
  </si>
  <si>
    <t>Amount (IQD)</t>
  </si>
  <si>
    <t>Model month</t>
  </si>
  <si>
    <t>Payment date</t>
  </si>
  <si>
    <t>Tranche 1</t>
  </si>
  <si>
    <t>CBI 2026 digital-bank capital schedule: IQD 30bn before/submission period.</t>
  </si>
  <si>
    <t>Tranche 2</t>
  </si>
  <si>
    <t>CBI 2026 schedule: IQD 35bn in following year.</t>
  </si>
  <si>
    <t>Tranche 3</t>
  </si>
  <si>
    <t>CBI 2026 schedule: IQD 35bn in third year.</t>
  </si>
  <si>
    <t>Assumption</t>
  </si>
  <si>
    <t>Fiscal year 1 August 2026 - July 2027</t>
  </si>
  <si>
    <t>Fiscal year 2 August 2027 - July 2028</t>
  </si>
  <si>
    <t>Fiscal year 3 August 2028 - July 2029</t>
  </si>
  <si>
    <t>Fiscal year 4 August 2029 - July 2030</t>
  </si>
  <si>
    <t>Fiscal year 5 August 2030 - July 2031</t>
  </si>
  <si>
    <t>Target active customers, end of period</t>
  </si>
  <si>
    <t>Customers</t>
  </si>
  <si>
    <t>Market module management plan calibrated against TAM/SAM/SOM.</t>
  </si>
  <si>
    <t>Monthly ARPU</t>
  </si>
  <si>
    <t>IQD/customer/month</t>
  </si>
  <si>
    <t>Market module ARPU assumption from existing 5-year plan.</t>
  </si>
  <si>
    <t>Average deposit balance per active customer</t>
  </si>
  <si>
    <t>IQD/customer</t>
  </si>
  <si>
    <t>Management assumption based on low initial account usage and salary/cash-conversion opportunity.</t>
  </si>
  <si>
    <t>Finance portfolio / deposits target</t>
  </si>
  <si>
    <t>Financing disabled in FY1; gradual Islamic finance build-up from Month 13.</t>
  </si>
  <si>
    <t>Murabaha / Islamic finance profit rate</t>
  </si>
  <si>
    <t>% p.a.</t>
  </si>
  <si>
    <t>Planning assumption pending product pricing and Sharia approval.</t>
  </si>
  <si>
    <t>ECL provision rate</t>
  </si>
  <si>
    <t>% of avg financing p.a.</t>
  </si>
  <si>
    <t>IFRS 9 planning placeholder; replace with PD/LGD/EAD model.</t>
  </si>
  <si>
    <t>Deposit profit distribution rate</t>
  </si>
  <si>
    <t>Islamic investment deposit distribution assumption; current accounts non-remunerated.</t>
  </si>
  <si>
    <t>Share of deposits eligible for profit distribution</t>
  </si>
  <si>
    <t>Assumption based on mix of current, savings, investment accounts.</t>
  </si>
  <si>
    <t>Fixed OPEX</t>
  </si>
  <si>
    <t>IQD bn/year</t>
  </si>
  <si>
    <t>Based on prior 5-year plan with annual growth.</t>
  </si>
  <si>
    <t>Variable cost per active customer</t>
  </si>
  <si>
    <t>Payments, processing, customer support, cloud operations.</t>
  </si>
  <si>
    <t>CAC per new active customer</t>
  </si>
  <si>
    <t>IQD/new customer</t>
  </si>
  <si>
    <t>Conservative paid/partnership acquisition cost assumption.</t>
  </si>
  <si>
    <t>Infrastructure CAPEX</t>
  </si>
  <si>
    <t>Core, digital channels, cybersecurity, branches, DR/BCP and integration readiness.</t>
  </si>
  <si>
    <t>Liquidity / treasury yield</t>
  </si>
  <si>
    <t>Conservative yield on cash/treasury instruments; below/near CBI policy reference.</t>
  </si>
  <si>
    <t>Market Calibration — TAM / SAM / SOM</t>
  </si>
  <si>
    <t>Rebuilt from official/published market data and linked to financial model customer targets.</t>
  </si>
  <si>
    <t>Metric</t>
  </si>
  <si>
    <t>Population forecast</t>
  </si>
  <si>
    <t>Adult population [15+]</t>
  </si>
  <si>
    <t>Digitally reachable adults</t>
  </si>
  <si>
    <t>Target account ownership trajectory</t>
  </si>
  <si>
    <t>Financial inclusion gap</t>
  </si>
  <si>
    <t>Islamic digital SAM</t>
  </si>
  <si>
    <t>Akkad active customers [SOM]</t>
  </si>
  <si>
    <t>SOM share of SAM</t>
  </si>
  <si>
    <t>Non-cash payments opportunity</t>
  </si>
  <si>
    <t>Formal Islamic finance gap</t>
  </si>
  <si>
    <t>Monthly Financial Model</t>
  </si>
  <si>
    <t>60-month forecast from August 2026. Financing is disabled during the first 12 months and begins in Month 13.</t>
  </si>
  <si>
    <t>Period date</t>
  </si>
  <si>
    <t>Fiscal year index</t>
  </si>
  <si>
    <t>Month in fiscal year</t>
  </si>
  <si>
    <t>Financing allowed flag</t>
  </si>
  <si>
    <t>Active customers</t>
  </si>
  <si>
    <t>New active customers</t>
  </si>
  <si>
    <t>Monthly ARPU (IQD/customer)</t>
  </si>
  <si>
    <t>Service &amp; payment revenue (IQD bn)</t>
  </si>
  <si>
    <t>Average deposit/customer (IQD)</t>
  </si>
  <si>
    <t>Customer deposits closing (IQD bn)</t>
  </si>
  <si>
    <t>Legal reserve requirement (IQD bn)</t>
  </si>
  <si>
    <t>Applied finance/deposit target</t>
  </si>
  <si>
    <t>Islamic financing portfolio closing (IQD bn)</t>
  </si>
  <si>
    <t>Average financing portfolio (IQD bn)</t>
  </si>
  <si>
    <t>Murabaha financing income (IQD bn)</t>
  </si>
  <si>
    <t>Share of deposits eligible for distribution</t>
  </si>
  <si>
    <t>Profit distribution expense (IQD bn)</t>
  </si>
  <si>
    <t>Investment / treasury income (IQD bn)</t>
  </si>
  <si>
    <t>Gross operating revenue (IQD bn)</t>
  </si>
  <si>
    <t>Net operating income after depositor share (IQD bn)</t>
  </si>
  <si>
    <t>Fixed OPEX (IQD bn)</t>
  </si>
  <si>
    <t>Variable OPEX (IQD bn)</t>
  </si>
  <si>
    <t>Customer acquisition cost (IQD bn)</t>
  </si>
  <si>
    <t>Required ATMs</t>
  </si>
  <si>
    <t>Infrastructure CAPEX (IQD bn)</t>
  </si>
  <si>
    <t>ATM CAPEX (IQD bn)</t>
  </si>
  <si>
    <t>Total CAPEX (IQD bn)</t>
  </si>
  <si>
    <t>Gross fixed assets (IQD bn)</t>
  </si>
  <si>
    <t>Depreciation (IQD bn)</t>
  </si>
  <si>
    <t>Net fixed assets (IQD bn)</t>
  </si>
  <si>
    <t>ECL provision expense (IQD bn)</t>
  </si>
  <si>
    <t>EBITDA (IQD bn)</t>
  </si>
  <si>
    <t>Profit before tax (IQD bn)</t>
  </si>
  <si>
    <t>Tax expense (IQD bn)</t>
  </si>
  <si>
    <t>Net income (IQD bn)</t>
  </si>
  <si>
    <t>Paid-up capital cumulative (IQD bn)</t>
  </si>
  <si>
    <t>Retained earnings (IQD bn)</t>
  </si>
  <si>
    <t>Total equity (IQD bn)</t>
  </si>
  <si>
    <t>Cash &amp; liquid assets (IQD bn)</t>
  </si>
  <si>
    <t>Total assets (IQD bn)</t>
  </si>
  <si>
    <t>Risk-weighted assets [RWA] (IQD bn)</t>
  </si>
  <si>
    <t>Capital adequacy ratio [CAR]</t>
  </si>
  <si>
    <t>LCR</t>
  </si>
  <si>
    <t>NSFR</t>
  </si>
  <si>
    <t>Finance/deposit ratio</t>
  </si>
  <si>
    <t>Financing start compliance</t>
  </si>
  <si>
    <t>Balance check (IQD bn)</t>
  </si>
  <si>
    <t>LCR internal target check</t>
  </si>
  <si>
    <t>CAR regulatory minimum check</t>
  </si>
  <si>
    <t>Annual Summary — 5-Year Model</t>
  </si>
  <si>
    <t>Fiscal years start in August and end in July. Amounts are IQD billions unless otherwise stated.</t>
  </si>
  <si>
    <t>Period start</t>
  </si>
  <si>
    <t>Period end</t>
  </si>
  <si>
    <t>Active customers, end</t>
  </si>
  <si>
    <t>Islamic digital SAM, end</t>
  </si>
  <si>
    <t>Customer deposits, end (IQD bn)</t>
  </si>
  <si>
    <t>Islamic financing portfolio, end (IQD bn)</t>
  </si>
  <si>
    <t>Net operating income (IQD bn)</t>
  </si>
  <si>
    <t>ECL provision (IQD bn)</t>
  </si>
  <si>
    <t>Gross fixed assets, end (IQD bn)</t>
  </si>
  <si>
    <t>Net fixed assets, end (IQD bn)</t>
  </si>
  <si>
    <t>Paid-up capital, end (IQD bn)</t>
  </si>
  <si>
    <t>Retained earnings, end (IQD bn)</t>
  </si>
  <si>
    <t>Total equity, end (IQD bn)</t>
  </si>
  <si>
    <t>Cash &amp; liquid assets, end (IQD bn)</t>
  </si>
  <si>
    <t>Total assets, end (IQD bn)</t>
  </si>
  <si>
    <t>Risk-weighted assets, end (IQD bn)</t>
  </si>
  <si>
    <t>Balance check (absolute IQD bn)</t>
  </si>
  <si>
    <t>CAR minimum check</t>
  </si>
  <si>
    <t>LCR target check</t>
  </si>
  <si>
    <t>Executive Dashboard</t>
  </si>
  <si>
    <t>Base-case summary for Akkad Islamic Digital Bank 5-year financial model.</t>
  </si>
  <si>
    <t>Key KPI</t>
  </si>
  <si>
    <t>FY1</t>
  </si>
  <si>
    <t>FY2</t>
  </si>
  <si>
    <t>FY3</t>
  </si>
  <si>
    <t>FY4</t>
  </si>
  <si>
    <t>FY5</t>
  </si>
  <si>
    <t>Regulatory KPI</t>
  </si>
  <si>
    <t>Deposits (IQD bn)</t>
  </si>
  <si>
    <t>Financing portfolio (IQD bn)</t>
  </si>
  <si>
    <t>Gross revenue (IQD bn)</t>
  </si>
  <si>
    <t>Finance/deposit</t>
  </si>
  <si>
    <t>Financing start</t>
  </si>
  <si>
    <t>Balance check</t>
  </si>
  <si>
    <t>FY</t>
  </si>
  <si>
    <t>Gross revenue</t>
  </si>
  <si>
    <t>Net income</t>
  </si>
  <si>
    <t>Deposits</t>
  </si>
  <si>
    <t>Scenario Sensitivity</t>
  </si>
  <si>
    <t>Simplified FY5 sensitivity around customer adoption, ARPU, deposits, and financing utilization.</t>
  </si>
  <si>
    <t>Scenario</t>
  </si>
  <si>
    <t>Customer multiplier</t>
  </si>
  <si>
    <t>ARPU multiplier</t>
  </si>
  <si>
    <t>Deposit/customer multiplier</t>
  </si>
  <si>
    <t>Finance/deposit multiplier</t>
  </si>
  <si>
    <t>FY5 customers</t>
  </si>
  <si>
    <t>FY5 deposits (IQD bn)</t>
  </si>
  <si>
    <t>FY5 financing (IQD bn)</t>
  </si>
  <si>
    <t>FY5 gross revenue (IQD bn)</t>
  </si>
  <si>
    <t>FY5 net income proxy (IQD bn)</t>
  </si>
  <si>
    <t>Comment</t>
  </si>
  <si>
    <t>Conservative</t>
  </si>
  <si>
    <t>Slower digital adoption and lower usage.</t>
  </si>
  <si>
    <t>Base</t>
  </si>
  <si>
    <t>Linked to base case annual model.</t>
  </si>
  <si>
    <t>Upside</t>
  </si>
  <si>
    <t>Higher adoption and stronger usage.</t>
  </si>
  <si>
    <t>Model Checks</t>
  </si>
  <si>
    <t>Automated checks for formula integrity, CBI financing-start restriction, balance sheet balance and regulatory ratios.</t>
  </si>
  <si>
    <t>Check</t>
  </si>
  <si>
    <t>Formula / method</t>
  </si>
  <si>
    <t>Result</t>
  </si>
  <si>
    <t>Status</t>
  </si>
  <si>
    <t>No financing before Month 13</t>
  </si>
  <si>
    <t>Count BREACH in Monthly_Model row 52</t>
  </si>
  <si>
    <t>Balance sheet balances</t>
  </si>
  <si>
    <t>Max absolute balance check</t>
  </si>
  <si>
    <t>Minimum CAR maintained</t>
  </si>
  <si>
    <t>Minimum monthly CAR vs CBI minimum</t>
  </si>
  <si>
    <t>Target LCR maintained</t>
  </si>
  <si>
    <t>Minimum monthly LCR vs internal target</t>
  </si>
  <si>
    <t>NSFR target maintained</t>
  </si>
  <si>
    <t>Minimum monthly NSFR vs internal target</t>
  </si>
  <si>
    <t>Cash positive</t>
  </si>
  <si>
    <t>Minimum cash &amp; liquid assets</t>
  </si>
  <si>
    <t>Basel III overlay CAR minimum</t>
  </si>
  <si>
    <t>Minimum Basel_III_CBI CAR overlay vs 12.5%</t>
  </si>
  <si>
    <t>Tier 1 share</t>
  </si>
  <si>
    <t>Minimum Tier 1 share of total eligible capital</t>
  </si>
  <si>
    <t>CBI capital floor sensitivity</t>
  </si>
  <si>
    <t>Maximum gap against CBI IQD 400 billion capital-floor sensitivity</t>
  </si>
  <si>
    <t>AAOIFI / IFRS overlay</t>
  </si>
  <si>
    <t>Islamic accounting treatment sheet added</t>
  </si>
  <si>
    <t>AAOIFI_IFRS_Iraq</t>
  </si>
  <si>
    <t>OK</t>
  </si>
  <si>
    <t>Regulatory stress overlay</t>
  </si>
  <si>
    <t>Stress scenario sheet added</t>
  </si>
  <si>
    <t>Reg_Stress_Checks</t>
  </si>
  <si>
    <t>Detailed ECL module added</t>
  </si>
  <si>
    <t>ECL_Assumptions / ECL_Module / ECL_Sensitivity</t>
  </si>
  <si>
    <t>Added</t>
  </si>
  <si>
    <t>Provision statement linkage</t>
  </si>
  <si>
    <t>FS_Income_Statement / FS_Balance_Sheet / FS_Cash_Flows</t>
  </si>
  <si>
    <t>Linked</t>
  </si>
  <si>
    <t>ECL allowance tie-out</t>
  </si>
  <si>
    <t>FS_Checks rows 22-25</t>
  </si>
  <si>
    <t>See FS_Checks</t>
  </si>
  <si>
    <t>AAOIFI FAS 30 mapping</t>
  </si>
  <si>
    <t>ECL_Accounting_Map</t>
  </si>
  <si>
    <t>Mapped</t>
  </si>
  <si>
    <t>CBI provision checklist</t>
  </si>
  <si>
    <t>Loan-level ECL engine</t>
  </si>
  <si>
    <t>Future core/ECL system integration</t>
  </si>
  <si>
    <t>Needs actual portfolio data</t>
  </si>
  <si>
    <t>Needs evidence</t>
  </si>
  <si>
    <t>Auditor / SSB sign-off</t>
  </si>
  <si>
    <t>External auditor + Sharia Supervisory Board</t>
  </si>
  <si>
    <t>Required before filing</t>
  </si>
  <si>
    <t>Added CBI readiness cost layer</t>
  </si>
  <si>
    <t>Link Assumptions!B65:F65 and B68:F68 to the CBI_Readiness_Costs tab</t>
  </si>
  <si>
    <t>Customer deposit-cap control added</t>
  </si>
  <si>
    <t>Deposit_Cap_Check</t>
  </si>
  <si>
    <t>Requires client level checking in the platform</t>
  </si>
  <si>
    <t>Added CBI requirements map</t>
  </si>
  <si>
    <t>CBI_Standards_Mapping</t>
  </si>
  <si>
    <t>Periodic CAR/LCR/NSFR reports added</t>
  </si>
  <si>
    <t>Quarterly_Reg_Report</t>
  </si>
  <si>
    <t>CBI business plan tabs added</t>
  </si>
  <si>
    <t>Competitor, segmentation, product roadmap/pricing, GTM, underserved, and agent cash model tabs added.</t>
  </si>
  <si>
    <t>No-branch strategy supported by GTM</t>
  </si>
  <si>
    <t>Governorate/channel strategy uses app, web, contact center, ATM/partners, agents; no public-facing branches.</t>
  </si>
  <si>
    <t>Agent/cash support documented</t>
  </si>
  <si>
    <t>Digital_Agents_Cash_Model documents cash-in/cash-out scope, controls, settlement, and bank responsibility.</t>
  </si>
  <si>
    <t>Regulatory, Basel III, AAOIFI and Iraq Accounting Framework</t>
  </si>
  <si>
    <t>Purpose: this sheet documents how the financial model has been enhanced to reflect Basel III capital/liquidity logic, AAOIFI Islamic-finance accounting considerations, and Iraq/CBI accounting and prudential reporting requirements.</t>
  </si>
  <si>
    <t>Area</t>
  </si>
  <si>
    <t>Applicable source / standard</t>
  </si>
  <si>
    <t>Model implication</t>
  </si>
  <si>
    <t>Sheet / control added</t>
  </si>
  <si>
    <t>Current model treatment</t>
  </si>
  <si>
    <t>Action required before CBI submission</t>
  </si>
  <si>
    <t>Source link</t>
  </si>
  <si>
    <t>CBI financial plan forecast</t>
  </si>
  <si>
    <t>CBI Standards B1.3 / B1.4 and assessment guidance</t>
  </si>
  <si>
    <t>Five-year forecast must include a clear path to profitability and key capital/liquidity metrics.</t>
  </si>
  <si>
    <t>Annual_Summary; Basel_III_CBI; Reg_Stress_Checks</t>
  </si>
  <si>
    <t>Five fiscal years from Aug-2026 to Jul-2031 with monthly support.</t>
  </si>
  <si>
    <t>Ensure final financial plan is submitted in Arabic and English with supporting assumptions.</t>
  </si>
  <si>
    <t>Capital adequacy</t>
  </si>
  <si>
    <t>CBI C2.1 and Basel III RWA logic</t>
  </si>
  <si>
    <t>CAR must be calculated against risk-weighted assets and remain at least 12.5%, or higher if required by CBI.</t>
  </si>
  <si>
    <t>Basel_III_CBI</t>
  </si>
  <si>
    <t>Existing model remains above 12.5%; enhanced overlay adds operational-risk RWA proxy.</t>
  </si>
  <si>
    <t>Replace planning RWA weights with final CBI risk-weight template once issued/confirmed.</t>
  </si>
  <si>
    <t>Capital composition</t>
  </si>
  <si>
    <t>CBI C1.2 and Basel III Tier 1/Tier 2 classification</t>
  </si>
  <si>
    <t>At least 50% of required capital should consist of Tier 1/core capital.</t>
  </si>
  <si>
    <t>Model assumes 100% Tier 1/common-equity capital and no Tier 2 instruments.</t>
  </si>
  <si>
    <t>Obtain legal/regulatory confirmation on applicable paid-up capital regime and final tranche schedule.</t>
  </si>
  <si>
    <t>CBI C3.1 and Basel III LCR</t>
  </si>
  <si>
    <t>HQLA must cover 30-day net cash outflows; minimum regulatory LCR is 100%.</t>
  </si>
  <si>
    <t>Basel_III_CBI; Reg_Stress_Checks</t>
  </si>
  <si>
    <t>Internal target remains 120%; base forecast remains above target.</t>
  </si>
  <si>
    <t>Map HQLA levels to final CBI circular categories and exclude mandatory reserve where required.</t>
  </si>
  <si>
    <t>CBI C3.2 and Basel III NSFR</t>
  </si>
  <si>
    <t>ASF / RSF must remain at least 100%; internal target is 110%.</t>
  </si>
  <si>
    <t>Base forecast remains above 110%.</t>
  </si>
  <si>
    <t>Replace ASF/RSF planning weights with final CBI reporting template once issued.</t>
  </si>
  <si>
    <t>Stress testing</t>
  </si>
  <si>
    <t>CBI C4 and Basel III stress-testing discipline</t>
  </si>
  <si>
    <t>Model should test capital, liquidity, profitability and asset quality under adverse scenarios.</t>
  </si>
  <si>
    <t>Added revenue, cost, ECL and liquidity shock overlays.</t>
  </si>
  <si>
    <t>Update with official CBI annual stress scenarios when issued.</t>
  </si>
  <si>
    <t>Islamic accounting</t>
  </si>
  <si>
    <t>AAOIFI Financial Accounting Standards and Sharia standards</t>
  </si>
  <si>
    <t>Islamic products should be accounted for in substance as Sharia-compliant contracts, not as interest-bearing lending.</t>
  </si>
  <si>
    <t>Murabaha income, depositor profit share and ECL are separately modeled.</t>
  </si>
  <si>
    <t>Obtain Sharia Supervisory Board approval for products, profit pools and accounting treatment.</t>
  </si>
  <si>
    <t>Iraq accounting basis</t>
  </si>
  <si>
    <t>IFRS jurisdiction profile / CBI instruction for banks</t>
  </si>
  <si>
    <t>Banks in Iraq are required to apply IFRS as their accounting basis; Islamic overlays should be reconciled to IFRS/CBI reporting.</t>
  </si>
  <si>
    <t>Model uses IFRS-style P&amp;L, ECL, tax and depreciation logic with AAOIFI notes.</t>
  </si>
  <si>
    <t>Confirm external auditor position on AAOIFI-vs-IFRS presentation and disclosures.</t>
  </si>
  <si>
    <t>Islamic prudential overlay</t>
  </si>
  <si>
    <t>IFSB capital adequacy for Islamic financial services</t>
  </si>
  <si>
    <t>Islamic banks should consider displaced commercial risk, profit-sharing investment accounts and Sharia-compliant asset risks.</t>
  </si>
  <si>
    <t>AAOIFI_IFRS_Iraq; Basel_III_CBI</t>
  </si>
  <si>
    <t>Planning model treats investment deposits conservatively as stable funding/liability-like sources.</t>
  </si>
  <si>
    <t>Enhance ICAAP with IFSB/AAOIFI-specific treatment before final regulatory submission.</t>
  </si>
  <si>
    <t>Basel III and CBI Prudential Overlay</t>
  </si>
  <si>
    <t>Amounts are IQD billions unless stated otherwise. This overlay preserves the original financial model while adding Basel III / CBI checks and a regulatory capital-floor sensitivity.</t>
  </si>
  <si>
    <t>Tier 1 capital / common equity</t>
  </si>
  <si>
    <t>Tier 2 capital</t>
  </si>
  <si>
    <t>Total eligible capital</t>
  </si>
  <si>
    <t>Tier 1 share of total capital</t>
  </si>
  <si>
    <t>Existing model RWA</t>
  </si>
  <si>
    <t>Operational risk RWA proxy</t>
  </si>
  <si>
    <t>Market risk RWA proxy</t>
  </si>
  <si>
    <t>Basel III overlay total RWA</t>
  </si>
  <si>
    <t>CAR — Basel III overlay</t>
  </si>
  <si>
    <t>CBI minimum CAR</t>
  </si>
  <si>
    <t>CAR status vs CBI minimum</t>
  </si>
  <si>
    <t>CAR status vs internal target</t>
  </si>
  <si>
    <t>LCR — model</t>
  </si>
  <si>
    <t>CBI minimum LCR</t>
  </si>
  <si>
    <t>Internal target LCR</t>
  </si>
  <si>
    <t>LCR status</t>
  </si>
  <si>
    <t>NSFR — model</t>
  </si>
  <si>
    <t>CBI minimum NSFR</t>
  </si>
  <si>
    <t>Internal target NSFR</t>
  </si>
  <si>
    <t>NSFR status</t>
  </si>
  <si>
    <t>Paid-up capital — model</t>
  </si>
  <si>
    <t>CBI current capital floor sensitivity</t>
  </si>
  <si>
    <t>Capital gap vs current CBI floor</t>
  </si>
  <si>
    <t>Regulatory capital note</t>
  </si>
  <si>
    <t>AAOIFI, IFRS and Iraq Accounting Treatment Overlay</t>
  </si>
  <si>
    <t>This sheet translates Islamic digital banking products into accounting treatments suitable for model governance. It does not replace external auditor or Sharia Supervisory Board approval.</t>
  </si>
  <si>
    <t>Topic</t>
  </si>
  <si>
    <t>Islamic / accounting principle</t>
  </si>
  <si>
    <t>Model treatment</t>
  </si>
  <si>
    <t>Relevant financial model line</t>
  </si>
  <si>
    <t>Key risk if not addressed</t>
  </si>
  <si>
    <t>Recommended enhancement</t>
  </si>
  <si>
    <t>Reference</t>
  </si>
  <si>
    <t>Reporting basis in Iraq</t>
  </si>
  <si>
    <t>Banks in Iraq are required to apply IFRS as the accounting basis under CBI instruction; Islamic banking disclosures should be reconciled to IFRS/CBI reporting.</t>
  </si>
  <si>
    <t>Model uses IFRS-style P&amp;L, balance sheet, ECL, depreciation and income tax logic.</t>
  </si>
  <si>
    <t>Annual_Summary; Monthly_Model</t>
  </si>
  <si>
    <t>Regulatory rejection or auditor qualification if model is not reconciled to IFRS/CBI returns.</t>
  </si>
  <si>
    <t>Include an IFRS-to-AAOIFI reconciliation note in final filing.</t>
  </si>
  <si>
    <t>Murabaha finance</t>
  </si>
  <si>
    <t>AAOIFI FAS 28 covers Murabaha and other deferred-payment sales; profit should be recognized according to the approved accounting policy and contract substance.</t>
  </si>
  <si>
    <t>Murabaha income is modeled only after Month 13, using portfolio balance and annual profit rate.</t>
  </si>
  <si>
    <t>Monthly_Model rows 7, 18, 19; Annual_Summary row 14</t>
  </si>
  <si>
    <t>Income could be mischaracterized as interest or recognized prematurely.</t>
  </si>
  <si>
    <t>Separate principal receivable, deferred/unearned profit and earned Murabaha profit in detailed accounting schedules.</t>
  </si>
  <si>
    <t>Investment deposits</t>
  </si>
  <si>
    <t>Investment accounts should be governed by Mudarabah/Wakala terms, profit-sharing rules, reserves and Sharia approval.</t>
  </si>
  <si>
    <t>Eligible deposit share and depositor profit distribution rate are modeled separately from operating revenue.</t>
  </si>
  <si>
    <t>Monthly_Model rows 20–22; Annual_Summary row 16</t>
  </si>
  <si>
    <t>Profit smoothing or guaranteed returns could create Sharia and accounting issues.</t>
  </si>
  <si>
    <t>Add profit-pool allocation schedule, PER/IRR/risk-reserve policy and SSB approval references.</t>
  </si>
  <si>
    <t>Credit losses / impairment</t>
  </si>
  <si>
    <t>IFRS 9 ECL applies for IFRS reporting; AAOIFI FAS 30 covers impairment and credit losses for Islamic financial institutions.</t>
  </si>
  <si>
    <t>ECL provision starts when financing starts and is calculated on average financing portfolio.</t>
  </si>
  <si>
    <t>Monthly_Model row 37; Annual_Summary row 23</t>
  </si>
  <si>
    <t>Understatement of expected losses, CAR overstatement or delayed provisioning.</t>
  </si>
  <si>
    <t>Replace placeholder ECL rate with PD/LGD/EAD staging by product, customer segment and collateral type.</t>
  </si>
  <si>
    <t>Capital and liquidity</t>
  </si>
  <si>
    <t>Basel III and CBI ratios apply to Islamic bank balance-sheet risks; IFSB capital adequacy should be considered for Islamic-specific exposures.</t>
  </si>
  <si>
    <t>Basel_III_CBI adds operational-risk RWA proxy and CBI capital/liquidity controls.</t>
  </si>
  <si>
    <t>RWA or liquidity may be understated if Islamic product risks are treated too simply.</t>
  </si>
  <si>
    <t>Add IFSB/CBI product-specific risk-weight mapping for Murabaha, Ijarah, Wakala and off-balance-sheet exposures.</t>
  </si>
  <si>
    <t>No financing in first year</t>
  </si>
  <si>
    <t>CBI restriction / licensing condition: financing activity should not start before one year of operations.</t>
  </si>
  <si>
    <t>Financing allowed flag is zero for Months 1–12 and active from Month 13.</t>
  </si>
  <si>
    <t>Monthly_Model row 7; Checks row 4</t>
  </si>
  <si>
    <t>Regulatory breach if financing income, portfolio or ECL appears before Month 13.</t>
  </si>
  <si>
    <t>Keep model check locked and reviewed before any filing version is issued.</t>
  </si>
  <si>
    <t>Tax and statutory reporting</t>
  </si>
  <si>
    <t>Iraq tax and regulatory returns should apply to positive taxable profits and banking-specific reporting requirements.</t>
  </si>
  <si>
    <t>Tax is modeled at 15% only on positive profit before tax.</t>
  </si>
  <si>
    <t>Monthly_Model row 40; Annual_Summary row 25</t>
  </si>
  <si>
    <t>Tax expense may be misstated if loss carryforward or tax-specific adjustments are ignored.</t>
  </si>
  <si>
    <t>Confirm final tax computation with Iraqi tax advisor and external auditor.</t>
  </si>
  <si>
    <t>Zakat and social responsibility</t>
  </si>
  <si>
    <t>If introduced, Zakat and charitable features should be separated from bank income unless the bank has an obligation.</t>
  </si>
  <si>
    <t>No Zakat expense is currently booked in the bank P&amp;L.</t>
  </si>
  <si>
    <t>Not yet modeled</t>
  </si>
  <si>
    <t>Misstatement of liabilities or charitable flows if customer Zakat tools are treated as bank expense.</t>
  </si>
  <si>
    <t>Add optional off-balance-sheet customer Zakat calculator module if product roadmap requires it.</t>
  </si>
  <si>
    <t>Regulatory Stress and Accounting Sensitivity Checks</t>
  </si>
  <si>
    <t>Stress overlays are designed for planning and governance. Final scenarios should be replaced with annual CBI-issued stress parameters. Amounts are IQD billions unless stated.</t>
  </si>
  <si>
    <t>Stress metric</t>
  </si>
  <si>
    <t>Base profit before tax</t>
  </si>
  <si>
    <t>Scenario A: revenue -20% PBT</t>
  </si>
  <si>
    <t>Scenario B: OPEX +15% PBT</t>
  </si>
  <si>
    <t>Scenario C: ECL x2 PBT</t>
  </si>
  <si>
    <t>Base CAR overlay</t>
  </si>
  <si>
    <t>Revenue -20% CAR proxy</t>
  </si>
  <si>
    <t>OPEX +15% CAR proxy</t>
  </si>
  <si>
    <t>ECL x2 CAR proxy</t>
  </si>
  <si>
    <t>Base LCR</t>
  </si>
  <si>
    <t>Deposit liquidity shock LCR proxy</t>
  </si>
  <si>
    <t>Base NSFR</t>
  </si>
  <si>
    <t>NSFR after deposit stability haircut</t>
  </si>
  <si>
    <t>Overall stress governance status</t>
  </si>
  <si>
    <t>Enhanced Dashboard — Basel III, AAOIFI and Iraq Accounting Overlay</t>
  </si>
  <si>
    <t>KPI</t>
  </si>
  <si>
    <t>Interpretation</t>
  </si>
  <si>
    <t>Minimum / target</t>
  </si>
  <si>
    <t>Source sheet</t>
  </si>
  <si>
    <t>Profitability after provisions and tax.</t>
  </si>
  <si>
    <t>Positive by medium term</t>
  </si>
  <si>
    <t>Annual_Summary</t>
  </si>
  <si>
    <t>IFRS-style model result.</t>
  </si>
  <si>
    <t>CAR overlay</t>
  </si>
  <si>
    <t>Basel III / CBI capital adequacy after operational-risk proxy.</t>
  </si>
  <si>
    <t>≥ 12.5%; internal 25%</t>
  </si>
  <si>
    <t>Uses Tier 1 equity and overlay RWA.</t>
  </si>
  <si>
    <t>Short-term liquidity resilience.</t>
  </si>
  <si>
    <t>≥ 100%; internal 120%</t>
  </si>
  <si>
    <t>Annual_Summary / Basel_III_CBI</t>
  </si>
  <si>
    <t>HQLA mapping to CBI templates required.</t>
  </si>
  <si>
    <t>Stable funding resilience over one-year horizon.</t>
  </si>
  <si>
    <t>≥ 100%; internal 110%</t>
  </si>
  <si>
    <t>ASF/RSF weights should be replaced with final CBI template.</t>
  </si>
  <si>
    <t>Capital gap vs 400bn floor (IQD bn)</t>
  </si>
  <si>
    <t>Sensitivity to current CBI capital floor reference.</t>
  </si>
  <si>
    <t>0 after regulatory confirmation</t>
  </si>
  <si>
    <t>This is a sensitivity, not a change to the licensing-base assumption.</t>
  </si>
  <si>
    <t>First-year financing restriction</t>
  </si>
  <si>
    <t>No financing for first 12 months; starts Month 13.</t>
  </si>
  <si>
    <t>No breach</t>
  </si>
  <si>
    <t>Monthly_Model / Checks</t>
  </si>
  <si>
    <t>Existing monthly check preserved.</t>
  </si>
  <si>
    <t>AAOIFI / IFRS accounting overlay</t>
  </si>
  <si>
    <t>Accounting treatment mapped for Murabaha, deposits and ECL.</t>
  </si>
  <si>
    <t>Narrative &amp; policy schedule</t>
  </si>
  <si>
    <t>External auditor and SSB approval required.</t>
  </si>
  <si>
    <t>Provision module update: Detailed IFRS 9 / AAOIFI FAS 30 ECL staging, commitments provision, roll-forward, sensitivity and CBI readiness checklist have been added.</t>
  </si>
  <si>
    <t>Detailed Income Statement — Akkad Islamic Digital Bank</t>
  </si>
  <si>
    <t>Five fiscal years from August 2026 to July 2031. Amounts are in IQD billions unless stated otherwise. Islamic financing income starts after the first 12 months of operations.</t>
  </si>
  <si>
    <t>Line item</t>
  </si>
  <si>
    <t>Check / Note</t>
  </si>
  <si>
    <t>Operating income</t>
  </si>
  <si>
    <t>Service and payment revenue</t>
  </si>
  <si>
    <t>Digital banking, payments, cards and service fees.</t>
  </si>
  <si>
    <t>Murabaha financing income</t>
  </si>
  <si>
    <t>No financing income in FY1; financing starts in FY2 after one year of operations.</t>
  </si>
  <si>
    <t>Investment / treasury income</t>
  </si>
  <si>
    <t>Income from liquid assets / treasury placement assumptions.</t>
  </si>
  <si>
    <t>Gross operating revenue</t>
  </si>
  <si>
    <t>Sum of service, financing and treasury revenues.</t>
  </si>
  <si>
    <t>Less: profit distribution to investment depositors</t>
  </si>
  <si>
    <t>AAOIFI/Sharia treatment: depositor profit share presented before bank net operating income.</t>
  </si>
  <si>
    <t>Net operating income</t>
  </si>
  <si>
    <t>Gross operating revenue less investment depositor profit share.</t>
  </si>
  <si>
    <t>Operating expenses</t>
  </si>
  <si>
    <t>Management, compliance, IT, governance and core operating costs.</t>
  </si>
  <si>
    <t>Variable operating expenses</t>
  </si>
  <si>
    <t>Transaction processing, customer support and usage-linked costs.</t>
  </si>
  <si>
    <t>Customer acquisition cost</t>
  </si>
  <si>
    <t>Marketing and onboarding cost for new active customers.</t>
  </si>
  <si>
    <t>Total operating expenses</t>
  </si>
  <si>
    <t>Subtotal of fixed, variable and acquisition costs.</t>
  </si>
  <si>
    <t>EBITDA</t>
  </si>
  <si>
    <t>Net operating income less operating expenses.</t>
  </si>
  <si>
    <t>Provisions, tax and net income</t>
  </si>
  <si>
    <t>Depreciation and amortization</t>
  </si>
  <si>
    <t>Straight-line depreciation of IT, infrastructure and ATM assets.</t>
  </si>
  <si>
    <t>Detailed impairment / ECL provision charge [IFRS 9 / AAOIFI FAS 30]</t>
  </si>
  <si>
    <t>Stage 1, Stage 2, Stage 3 and onerous commitment charge from ECL_Module.</t>
  </si>
  <si>
    <t>Profit before tax</t>
  </si>
  <si>
    <t>EBITDA less depreciation and ECL provision.</t>
  </si>
  <si>
    <t>Tax expense</t>
  </si>
  <si>
    <t>Applied only on positive taxable profit in the base model.</t>
  </si>
  <si>
    <t>Net income / loss attributable to shareholders.</t>
  </si>
  <si>
    <t>Net profit margin</t>
  </si>
  <si>
    <t>Net income divided by gross operating revenue.</t>
  </si>
  <si>
    <t>Cost-to-income ratio</t>
  </si>
  <si>
    <t>Total operating expenses divided by net operating income.</t>
  </si>
  <si>
    <t>ECL disclosure memo</t>
  </si>
  <si>
    <t>Stage 1 ECL allowance</t>
  </si>
  <si>
    <t>12-month ECL for performing exposures.</t>
  </si>
  <si>
    <t>Stage 2 ECL allowance</t>
  </si>
  <si>
    <t>Lifetime ECL for SICR exposures.</t>
  </si>
  <si>
    <t>Stage 3 ECL allowance</t>
  </si>
  <si>
    <t>Lifetime ECL for credit-impaired exposures.</t>
  </si>
  <si>
    <t>Closing credit ECL allowance</t>
  </si>
  <si>
    <t>Balance sheet contra-financing allowance.</t>
  </si>
  <si>
    <t>Closing onerous commitment provision</t>
  </si>
  <si>
    <t>Balance sheet liability for commitments.</t>
  </si>
  <si>
    <t>Cost of risk</t>
  </si>
  <si>
    <t>Total provision charge / average EAD.</t>
  </si>
  <si>
    <t>Detailed Balance Sheet — Akkad Islamic Digital Bank</t>
  </si>
  <si>
    <t>Accounting presentation by fiscal year end. Amounts are in IQD billions. ECL allowance is presented as a contra-financing asset while cash is reconciled through the cash-flow statement.</t>
  </si>
  <si>
    <t>Assets</t>
  </si>
  <si>
    <t>Cash and liquid assets</t>
  </si>
  <si>
    <t>Cash-flow derived balance; includes liquidity and treasury assets.</t>
  </si>
  <si>
    <t>Gross Islamic financing portfolio</t>
  </si>
  <si>
    <t>Murabaha / Islamic financing gross receivables after the first 12 months.</t>
  </si>
  <si>
    <t>Less: Stage 1 ECL allowance</t>
  </si>
  <si>
    <t>Contra-asset allowance for Stage 1 performing exposures.</t>
  </si>
  <si>
    <t>Less: Stage 2 ECL allowance</t>
  </si>
  <si>
    <t>Contra-asset allowance for Stage 2 SICR exposures.</t>
  </si>
  <si>
    <t>Less: Stage 3 ECL allowance</t>
  </si>
  <si>
    <t>Contra-asset allowance for Stage 3 credit-impaired exposures.</t>
  </si>
  <si>
    <t>Net Islamic financing assets</t>
  </si>
  <si>
    <t>Gross financing portfolio less detailed ECL allowances.</t>
  </si>
  <si>
    <t>Total assets</t>
  </si>
  <si>
    <t>Total assets after ECL presentation.</t>
  </si>
  <si>
    <t>Net fixed assets</t>
  </si>
  <si>
    <t>Other assets</t>
  </si>
  <si>
    <t>Liabilities</t>
  </si>
  <si>
    <t>Current, saving and investment deposits.</t>
  </si>
  <si>
    <t>Customer deposits</t>
  </si>
  <si>
    <t>Provision for onerous / undrawn Islamic financing commitments</t>
  </si>
  <si>
    <t>AAOIFI FAS 30-style provision for expected losses on approved undrawn commitments.</t>
  </si>
  <si>
    <t>Other liabilities</t>
  </si>
  <si>
    <t>No other liabilities assumed in the base case.</t>
  </si>
  <si>
    <t>Total liabilities</t>
  </si>
  <si>
    <t>Total liabilities including onerous commitment provision.</t>
  </si>
  <si>
    <t>Shareholders' equity</t>
  </si>
  <si>
    <t>Paid-up share capital</t>
  </si>
  <si>
    <t>Paid-in capital under the current modeled capital plan.</t>
  </si>
  <si>
    <t>Retained earnings / accumulated losses</t>
  </si>
  <si>
    <t>Cumulative net income / losses after detailed ECL and provisions; no dividends assumed.</t>
  </si>
  <si>
    <t>Total shareholders' equity</t>
  </si>
  <si>
    <t>Paid-up capital plus retained earnings.</t>
  </si>
  <si>
    <t>Total liabilities and shareholders' equity</t>
  </si>
  <si>
    <t>Total funding.</t>
  </si>
  <si>
    <t>Must equal zero.</t>
  </si>
  <si>
    <t>Regulatory and presentation memos</t>
  </si>
  <si>
    <t>Risk-weighted assets [RWA]</t>
  </si>
  <si>
    <t>Basel III / CBI RWA estimate from model.</t>
  </si>
  <si>
    <t>Total equity / RWA.</t>
  </si>
  <si>
    <t>Regulatory liquidity coverage ratio.</t>
  </si>
  <si>
    <t>Stable funding ratio.</t>
  </si>
  <si>
    <t>Finance-to-deposit ratio</t>
  </si>
  <si>
    <t>Gross financing portfolio / customer deposits.</t>
  </si>
  <si>
    <t>Model cash before ECL accounting presentation</t>
  </si>
  <si>
    <t>Original model cash line before explicit contra-asset ECL presentation.</t>
  </si>
  <si>
    <t>Cumulative ECL allowance memo</t>
  </si>
  <si>
    <t>Cumulative allowance used to reconcile accounting presentation.</t>
  </si>
  <si>
    <t>Detailed Cash Flow Statement — Akkad Islamic Digital Bank</t>
  </si>
  <si>
    <t>Indirect cash-flow statement for fiscal years ending July. Amounts are in IQD billions. Deposits and financing portfolio movements are presented as operating activities, consistent with bank cash-flow presentation logic.</t>
  </si>
  <si>
    <t>Cash flows from operating activities</t>
  </si>
  <si>
    <t>From income statement.</t>
  </si>
  <si>
    <t>Depreciation and amortization add-back</t>
  </si>
  <si>
    <t>Non-cash expense add-back.</t>
  </si>
  <si>
    <t>Detailed impairment / ECL provision add-back</t>
  </si>
  <si>
    <t>Non-cash charge from ECL_Module, including credit ECL and onerous commitment provision.</t>
  </si>
  <si>
    <t>Increase / (decrease) in customer deposits</t>
  </si>
  <si>
    <t>Operating cash inflow from deposit growth.</t>
  </si>
  <si>
    <t>Increase in gross Islamic financing portfolio</t>
  </si>
  <si>
    <t>Operating cash outflow from financing assets; no outflow in FY1 under financing-start restriction.</t>
  </si>
  <si>
    <t>Net cash from operating activities</t>
  </si>
  <si>
    <t>Subtotal.</t>
  </si>
  <si>
    <t>Cash flows from investing activities</t>
  </si>
  <si>
    <t>Capital expenditure</t>
  </si>
  <si>
    <t>Investment in technology, infrastructure, ATMs and systems.</t>
  </si>
  <si>
    <t>Net cash from investing activities</t>
  </si>
  <si>
    <t>Cash flows from financing activities</t>
  </si>
  <si>
    <t>Paid-up capital injection</t>
  </si>
  <si>
    <t>Capital tranches paid by shareholders.</t>
  </si>
  <si>
    <t>Shareholder dividends</t>
  </si>
  <si>
    <t>No dividends assumed during the forecast period.</t>
  </si>
  <si>
    <t>Net cash from financing activities</t>
  </si>
  <si>
    <t>Cash reconciliation</t>
  </si>
  <si>
    <t>Net change in cash and liquid assets</t>
  </si>
  <si>
    <t>Operating + investing + financing cash flows.</t>
  </si>
  <si>
    <t>Opening cash and liquid assets</t>
  </si>
  <si>
    <t>Opening balance equals previous year closing cash.</t>
  </si>
  <si>
    <t>Closing cash and liquid assets</t>
  </si>
  <si>
    <t>Should tie to balance sheet cash.</t>
  </si>
  <si>
    <t>Balance sheet cash tie-out</t>
  </si>
  <si>
    <t>Closing cash and liquid assets (output)</t>
  </si>
  <si>
    <t>Linked by the balance sheet.</t>
  </si>
  <si>
    <t>Statement of Shareholders' Equity — Akkad Islamic Digital Bank</t>
  </si>
  <si>
    <t>Tracks paid-up capital, retained earnings and total shareholders' equity over the 5-year forecast. Amounts are in IQD billions.</t>
  </si>
  <si>
    <t>Opening paid-up capital</t>
  </si>
  <si>
    <t>Opening balance of share capital.</t>
  </si>
  <si>
    <t>Capital issued / paid during the year</t>
  </si>
  <si>
    <t>Closing paid-up capital</t>
  </si>
  <si>
    <t>Closing paid-up capital.</t>
  </si>
  <si>
    <t>Opening retained earnings / accumulated losses</t>
  </si>
  <si>
    <t>Opening retained earnings.</t>
  </si>
  <si>
    <t>Net income for the year</t>
  </si>
  <si>
    <t>Profit/loss from income statement.</t>
  </si>
  <si>
    <t>Dividends / shareholder distributions</t>
  </si>
  <si>
    <t>No dividends assumed during build-out stage.</t>
  </si>
  <si>
    <t>Closing retained earnings / accumulated losses</t>
  </si>
  <si>
    <t>Closing retained earnings.</t>
  </si>
  <si>
    <t>Tier 1 regulatory capital memo</t>
  </si>
  <si>
    <t>Simple Tier 1 proxy pending final regulatory capital adjustments.</t>
  </si>
  <si>
    <t>Basel III / CBI RWA estimate.</t>
  </si>
  <si>
    <t>Tier 1 proxy / RWA.</t>
  </si>
  <si>
    <t>Equity check</t>
  </si>
  <si>
    <t>Financial Statements Checks and Linkage Notes</t>
  </si>
  <si>
    <t>Control checks confirming that the added financial statements are formula-linked and internally balanced.</t>
  </si>
  <si>
    <t>Control checks</t>
  </si>
  <si>
    <t>Income statement net income tie-out</t>
  </si>
  <si>
    <t>Balance sheet balance check</t>
  </si>
  <si>
    <t>Cash flow to balance sheet cash check</t>
  </si>
  <si>
    <t>Equity statement tie-out</t>
  </si>
  <si>
    <t>Financing activity restriction</t>
  </si>
  <si>
    <t>Text</t>
  </si>
  <si>
    <t>Must show OK; financing starts only after 12 months.</t>
  </si>
  <si>
    <t>CAR compliance check</t>
  </si>
  <si>
    <t>Must show OK.</t>
  </si>
  <si>
    <t>LCR compliance check</t>
  </si>
  <si>
    <t>Presentation notes</t>
  </si>
  <si>
    <t>Accounting basis</t>
  </si>
  <si>
    <t>Note</t>
  </si>
  <si>
    <t>Statements are built from the existing model and aligned with IFRS / Iraq accounting logic, AAOIFI Sharia treatment and Basel III/CBI prudential overlays already added in the model.</t>
  </si>
  <si>
    <t>ECL presentation</t>
  </si>
  <si>
    <t>ECL provision is non-cash in the cash flow statement and accumulated as a contra-financing allowance in the balance sheet presentation.</t>
  </si>
  <si>
    <t>Bank cash flow classification</t>
  </si>
  <si>
    <t>Deposit movements and financing portfolio movements are presented in operating cash flows because they are core banking operating activities.</t>
  </si>
  <si>
    <t>Provision and ECL readiness checks</t>
  </si>
  <si>
    <t>Stage exposure check</t>
  </si>
  <si>
    <t>ECL module status</t>
  </si>
  <si>
    <t>Must show OK or explain Review.</t>
  </si>
  <si>
    <t>ECL allowance tie-out to Balance Sheet</t>
  </si>
  <si>
    <t>Onerous provision tie-out to Balance Sheet</t>
  </si>
  <si>
    <t>Detailed ECL / Provision Assumptions — IFRS 9, AAOIFI FAS 30 and CBI-ready overlay</t>
  </si>
  <si>
    <t>All assumptions are annual and stated by fiscal year. Financing is disabled in FY1 and begins after the first operational year, starting August 2027.</t>
  </si>
  <si>
    <t>Assumption / input</t>
  </si>
  <si>
    <t>Source / governance note</t>
  </si>
  <si>
    <t>Exposure staging shares</t>
  </si>
  <si>
    <t>An organizational section showing portfolio ratios according to credit risk stages.</t>
  </si>
  <si>
    <t>Stage 1 exposure share — performing, 12-month ECL</t>
  </si>
  <si>
    <t>% of gross financing</t>
  </si>
  <si>
    <t>Management base-case staging. Subject to monthly portfolio performance and CBI / auditor validation.</t>
  </si>
  <si>
    <t>Stage 2 exposure share — significant increase in credit risk, lifetime ECL</t>
  </si>
  <si>
    <t>SICR placeholder pending actual delinquency, restructuring, watch-list and score migration data.</t>
  </si>
  <si>
    <t>Stage 3 exposure share — credit-impaired / defaulted, lifetime ECL</t>
  </si>
  <si>
    <t>NPL / default assumption kept below the internal stop-finance threshold but requires quarterly validation.</t>
  </si>
  <si>
    <t>Stage share check</t>
  </si>
  <si>
    <t>Must equal 100% in years with financing.</t>
  </si>
  <si>
    <t>PD / LGD assumptions</t>
  </si>
  <si>
    <t>Regulatory section for probability of default and loss given default inputs.</t>
  </si>
  <si>
    <t>Stage 1 probability of default [PD] — 12 months</t>
  </si>
  <si>
    <t>12-month ECL proxy for performing Murabaha and Islamic financing receivables.</t>
  </si>
  <si>
    <t>Stage 2 probability of default [PD] — lifetime</t>
  </si>
  <si>
    <t>Lifetime ECL proxy for exposures with significant increase in credit risk.</t>
  </si>
  <si>
    <t>Stage 3 probability of default [PD] — defaulted</t>
  </si>
  <si>
    <t>Credit-impaired exposures treated as defaulted for conservative ECL modeling.</t>
  </si>
  <si>
    <t>Stage 1 loss given default [LGD]</t>
  </si>
  <si>
    <t>Net of collateral and recovery assumptions. To be replaced with validated recovery data.</t>
  </si>
  <si>
    <t>Stage 2 loss given default [LGD]</t>
  </si>
  <si>
    <t>Higher LGD for watch-list / SICR exposures.</t>
  </si>
  <si>
    <t>Stage 3 loss given default [LGD]</t>
  </si>
  <si>
    <t>Conservative LGD for defaulted receivables.</t>
  </si>
  <si>
    <t>Forward-looking macro overlay</t>
  </si>
  <si>
    <t>x</t>
  </si>
  <si>
    <t>Overlay reflects Iraq macro, liquidity, inflation, cash usage and early-stage digital-bank uncertainty.</t>
  </si>
  <si>
    <t>Write-off / recovery assumptions</t>
  </si>
  <si>
    <t>Regulatory department for future write-off and collection policies.</t>
  </si>
  <si>
    <t>Write-off rate applied to Stage 3 allowance</t>
  </si>
  <si>
    <t>No write-offs modeled before actual credit portfolio data; row retained for CBI/auditor readiness.</t>
  </si>
  <si>
    <t>Recovery rate on written-off exposures</t>
  </si>
  <si>
    <t>% of write-offs</t>
  </si>
  <si>
    <t>No recoveries modeled before actual write-off data; row retained for future actuals.</t>
  </si>
  <si>
    <t>Commitments and onerous commitment provision</t>
  </si>
  <si>
    <t>Regulatory section for the allocation of approved and undrawn limits.</t>
  </si>
  <si>
    <t>Undrawn commitment / approved limits ratio</t>
  </si>
  <si>
    <t>For approved Islamic financing limits not yet disbursed.</t>
  </si>
  <si>
    <t>Credit conversion factor [CCF]</t>
  </si>
  <si>
    <t>Base-case conversion factor for undrawn commitments. Subject to CBI/Basel mapping.</t>
  </si>
  <si>
    <t>PD for commitments</t>
  </si>
  <si>
    <t>Uses Stage 1 PD as base proxy unless the commitment is classified otherwise.</t>
  </si>
  <si>
    <t>LGD for commitments</t>
  </si>
  <si>
    <t>Uses Stage 1 LGD as base proxy.</t>
  </si>
  <si>
    <t>Islamic product mix assumptions</t>
  </si>
  <si>
    <t>A regulatory department to distribute the financing portfolio according to Islamic formulas.</t>
  </si>
  <si>
    <t>Retail Murabaha / consumer goods finance</t>
  </si>
  <si>
    <t>% of financing portfolio</t>
  </si>
  <si>
    <t>AAOIFI FAS 28 / Sharia-approved product. Primary early-stage financing product.</t>
  </si>
  <si>
    <t>SME Murabaha / working capital finance</t>
  </si>
  <si>
    <t>Higher-risk segment. Requires separate scoring, collateral and limit controls.</t>
  </si>
  <si>
    <t>Ijarah / asset finance</t>
  </si>
  <si>
    <t>AAOIFI FAS 32 treatment where applied. Requires asset ownership and lease accounting policy.</t>
  </si>
  <si>
    <t>Product mix check</t>
  </si>
  <si>
    <t>SICR / default policy triggers</t>
  </si>
  <si>
    <t>Regulatory department for increased risk and default policies.</t>
  </si>
  <si>
    <t>Stage 2 transfer trigger</t>
  </si>
  <si>
    <t>Policy</t>
  </si>
  <si>
    <t>No financing</t>
  </si>
  <si>
    <t>30+ DPD, material score deterioration, restructuring, forbearance, watch-list, or adverse sector / employer signal.</t>
  </si>
  <si>
    <t>Same</t>
  </si>
  <si>
    <t>Should be approved by Risk Committee and audited annually.</t>
  </si>
  <si>
    <t>Stage 3 default trigger</t>
  </si>
  <si>
    <t>90+ DPD, bankruptcy, fraud, unlikeliness-to-pay, legal recovery, or Sharia contract breach affecting collectability.</t>
  </si>
  <si>
    <t>Must align with CBI credit reporting / credit bureau and internal recovery policies.</t>
  </si>
  <si>
    <t>Governance review frequency</t>
  </si>
  <si>
    <t>Quarterly</t>
  </si>
  <si>
    <t>Reviewed by Risk Committee, Finance, Internal Audit, external auditor and Sharia Supervisory Board.</t>
  </si>
  <si>
    <t>Detailed ECL / Provision Module — Annual roll-forward and financial-statement linkage</t>
  </si>
  <si>
    <t>Amounts are in IQD billions unless stated otherwise. This sheet replaces the earlier summary ECL placeholder with a staging, PD, LGD, EAD and commitments-based provision module.</t>
  </si>
  <si>
    <t>Gross Islamic financing portfolio, closing</t>
  </si>
  <si>
    <t>Ties to Annual_Summary gross financing portfolio.</t>
  </si>
  <si>
    <t>Average financing exposure [EAD base]</t>
  </si>
  <si>
    <t>Average EAD base for cost-of-risk checks.</t>
  </si>
  <si>
    <t>Stage 1 exposure</t>
  </si>
  <si>
    <t>Performing exposures.</t>
  </si>
  <si>
    <t>Stage 2 exposure</t>
  </si>
  <si>
    <t>SICR / watch-list exposures.</t>
  </si>
  <si>
    <t>Stage 3 exposure</t>
  </si>
  <si>
    <t>Credit-impaired exposures.</t>
  </si>
  <si>
    <t>expected credit loss (ECL) allowance</t>
  </si>
  <si>
    <t>Regulatory department for calculating the allowance for expected credit losses (ECL).</t>
  </si>
  <si>
    <t>Stage 1 ECL allowance — 12-month ECL</t>
  </si>
  <si>
    <t>IFRS 9 Stage 1 / AAOIFI FAS 30 forward-looking allowance.</t>
  </si>
  <si>
    <t>Stage 2 ECL allowance — lifetime ECL</t>
  </si>
  <si>
    <t>Stage 3 ECL allowance — credit-impaired</t>
  </si>
  <si>
    <t>Credit-impaired allowance.</t>
  </si>
  <si>
    <t>Opening credit ECL allowance</t>
  </si>
  <si>
    <t>Opening allowance.</t>
  </si>
  <si>
    <t>Write-offs during the year</t>
  </si>
  <si>
    <t>Deducted through allowance roll-forward; actual write-offs require approval/evidence.</t>
  </si>
  <si>
    <t>Recoveries during the year</t>
  </si>
  <si>
    <t>Recoveries on previously written-off exposures.</t>
  </si>
  <si>
    <t>P&amp;L credit ECL charge</t>
  </si>
  <si>
    <t>Income-statement impairment charge before onerous commitments.</t>
  </si>
  <si>
    <t>Onerous / undrawn commitments</t>
  </si>
  <si>
    <t>Regulatory section of the provision related to the approved and undrawn limits.</t>
  </si>
  <si>
    <t>Undrawn approved Islamic financing commitments</t>
  </si>
  <si>
    <t>Approved but undrawn limits / commitments.</t>
  </si>
  <si>
    <t>Credit equivalent amount of commitments</t>
  </si>
  <si>
    <t>Applies credit conversion factor [CCF].</t>
  </si>
  <si>
    <t>AAOIFI FAS 30 onerous commitments / expected losses on commitments.</t>
  </si>
  <si>
    <t>Opening onerous commitment provision</t>
  </si>
  <si>
    <t>Opening onerous commitment liability.</t>
  </si>
  <si>
    <t>P&amp;L onerous commitment charge</t>
  </si>
  <si>
    <t>Income-statement charge for commitments.</t>
  </si>
  <si>
    <t>Total impairment / provision charge</t>
  </si>
  <si>
    <t>Replaces previous summary ECL provision line.</t>
  </si>
  <si>
    <t>Credit ECL coverage ratio</t>
  </si>
  <si>
    <t>Closing credit ECL allowance / Stage 3 exposure.</t>
  </si>
  <si>
    <t>NPL / Stage 3 ratio</t>
  </si>
  <si>
    <t>Stage 3 exposure / gross financing portfolio.</t>
  </si>
  <si>
    <t>Total provision charge / average financing exposure.</t>
  </si>
  <si>
    <t>Provision readiness flag</t>
  </si>
  <si>
    <t>Checks staging and provision logic by year.</t>
  </si>
  <si>
    <t>ECL Sensitivity — PD, LGD and Stage Migration Stress</t>
  </si>
  <si>
    <t>This sensitivity supports CBI review of provisioning robustness under downside credit migration and recovery assumptions.</t>
  </si>
  <si>
    <t>Description</t>
  </si>
  <si>
    <t>Base total provision charge</t>
  </si>
  <si>
    <t>From detailed ECL module</t>
  </si>
  <si>
    <t>Base model charge.</t>
  </si>
  <si>
    <t>Downside: PD +25%</t>
  </si>
  <si>
    <t>All PD assumptions increased by 25%</t>
  </si>
  <si>
    <t>Proxy sensitivity until a full loan-level ECL engine is implemented.</t>
  </si>
  <si>
    <t>Downside: LGD +15%</t>
  </si>
  <si>
    <t>All LGD assumptions increased by 15%</t>
  </si>
  <si>
    <t>Tests collateral/recovery risk.</t>
  </si>
  <si>
    <t>Downside: Stage 2 / Stage 3 migration</t>
  </si>
  <si>
    <t>Stage migration stress proxy</t>
  </si>
  <si>
    <t>Proxy for deterioration in portfolio quality and SICR migration.</t>
  </si>
  <si>
    <t>Upside: improved recoveries</t>
  </si>
  <si>
    <t>Recoveries improve by 20%</t>
  </si>
  <si>
    <t>Indicative upside only; base case remains conservative.</t>
  </si>
  <si>
    <t>Maximum stress charge</t>
  </si>
  <si>
    <t>Max of downside cases</t>
  </si>
  <si>
    <t>Used for provisioning buffer discussion.</t>
  </si>
  <si>
    <t>Provisioning Accounting Map — IFRS 9, AAOIFI FAS 30 and Iraq banking reporting</t>
  </si>
  <si>
    <t>This map documents how the model treats impairment, expected credit losses (ECL), onerous commitments and financial-statement presentation.</t>
  </si>
  <si>
    <t>IFRS / AAOIFI basis</t>
  </si>
  <si>
    <t>Iraq / CBI consideration</t>
  </si>
  <si>
    <t>Financial statement impact</t>
  </si>
  <si>
    <t>Evidence needed before submission</t>
  </si>
  <si>
    <t>Credit exposures</t>
  </si>
  <si>
    <t>Gross Islamic financing portfolio is split into Stage 1, Stage 2 and Stage 3 exposures.</t>
  </si>
  <si>
    <t>IFRS 9 ECL staging; AAOIFI FAS 30 classifies assets/exposures in view of credit and other risks.</t>
  </si>
  <si>
    <t>CBI requires banks to apply IFRS / IFRS 9 and to maintain sound risk and reporting controls.</t>
  </si>
  <si>
    <t>Balance Sheet: gross financing, allowance and net financing assets.</t>
  </si>
  <si>
    <t>Credit policy, product approvals, risk rating scale, delinquency data, credit bureau integration.</t>
  </si>
  <si>
    <t>Open Source</t>
  </si>
  <si>
    <t>Stage 1 ECL</t>
  </si>
  <si>
    <t>IFRS 9 expected credit loss (ECL) model; AAOIFI FAS 30 forward-looking impairment approach.</t>
  </si>
  <si>
    <t>Auditor / CBI review should validate PD, LGD and macro overlays.</t>
  </si>
  <si>
    <t>Income Statement: provision charge; Balance Sheet: allowance.</t>
  </si>
  <si>
    <t>PD/LGD methodology and validation pack.</t>
  </si>
  <si>
    <t>Stage 2 ECL</t>
  </si>
  <si>
    <t>Lifetime ECL for significant increase in credit risk [SICR].</t>
  </si>
  <si>
    <t>Stage 2 lifetime ECL treatment.</t>
  </si>
  <si>
    <t>Requires objective SICR rules approved by Risk Committee.</t>
  </si>
  <si>
    <t>Higher provision charge when portfolio risk migrates.</t>
  </si>
  <si>
    <t>SICR policy: 30+ DPD, restructuring, score migration, adverse indicators.</t>
  </si>
  <si>
    <t>Stage 3 ECL</t>
  </si>
  <si>
    <t>Credit-impaired exposures treated as defaulted with lifetime ECL.</t>
  </si>
  <si>
    <t>Credit-impaired / default treatment.</t>
  </si>
  <si>
    <t>CBI reporting to credit bureau and NPL monitoring should align with policy.</t>
  </si>
  <si>
    <t>Allowance coverage and NPL ratio disclosures.</t>
  </si>
  <si>
    <t>Default policy: 90+ DPD, unlikeliness-to-pay, legal recovery, fraud or breach.</t>
  </si>
  <si>
    <t>Undrawn approved Islamic financing limits have a separate expected-loss provision.</t>
  </si>
  <si>
    <t>AAOIFI FAS 30 covers onerous commitments and expected losses.</t>
  </si>
  <si>
    <t>CBI/Basel capital and off-balance-sheet exposure mapping to be confirmed.</t>
  </si>
  <si>
    <t>Balance Sheet liability; Income Statement provision charge.</t>
  </si>
  <si>
    <t>Approved limits register and off-balance-sheet commitments policy.</t>
  </si>
  <si>
    <t>https://aaoifi.com/announcement/aaoifi-issues-its-101-standard-on-impairment-credit-losses-and-onerous-commitments/?lang=en</t>
  </si>
  <si>
    <t>Write-offs and recoveries</t>
  </si>
  <si>
    <t>Allowance roll-forward includes write-offs and recoveries.</t>
  </si>
  <si>
    <t>Expected-loss allowance roll-forward and current loss treatment.</t>
  </si>
  <si>
    <t>Requires approval workflow and legal/recovery documentation.</t>
  </si>
  <si>
    <t>Income Statement and allowance roll-forward.</t>
  </si>
  <si>
    <t>Write-off approval matrix, recovery policy and board/risk committee reporting.</t>
  </si>
  <si>
    <t>Regulatory capital link</t>
  </si>
  <si>
    <t>ECL affects retained earnings, equity, Tier 1 proxy and CAR.</t>
  </si>
  <si>
    <t>Basel III capital framework and prudential filters to be confirmed.</t>
  </si>
  <si>
    <t>CBI standard requires minimum CAR 12.5% and capital assurance by approved third-party firm.</t>
  </si>
  <si>
    <t>CAR and capital adequacy checks.</t>
  </si>
  <si>
    <t>Final CBI capital treatment, prudential adjustments and auditor sign-off.</t>
  </si>
  <si>
    <t>CBI Submission Readiness Checklist — Provisions and ECL</t>
  </si>
  <si>
    <t>Items marked 'Model included' are included in this workbook; items marked 'Needs evidence' require management, auditor, Sharia Supervisory Board or CBI confirmation before formal filing.</t>
  </si>
  <si>
    <t>Requirement</t>
  </si>
  <si>
    <t>Model status</t>
  </si>
  <si>
    <t>Workbook location</t>
  </si>
  <si>
    <t>Owner</t>
  </si>
  <si>
    <t>Submission evidence needed</t>
  </si>
  <si>
    <t>Priority</t>
  </si>
  <si>
    <t>Stage 1 / Stage 2 / Stage 3 ECL classification</t>
  </si>
  <si>
    <t>Model included</t>
  </si>
  <si>
    <t>ECL_Assumptions / ECL_Module</t>
  </si>
  <si>
    <t>Risk / Finance</t>
  </si>
  <si>
    <t>Approved staging policy and monthly staging reports.</t>
  </si>
  <si>
    <t>High</t>
  </si>
  <si>
    <t>Required for IFRS 9 and AAOIFI FAS 30 consistency.</t>
  </si>
  <si>
    <t>PD / LGD / EAD assumptions by stage</t>
  </si>
  <si>
    <t>ECL_Assumptions</t>
  </si>
  <si>
    <t>Validation methodology and approval by Risk Committee.</t>
  </si>
  <si>
    <t>Current values are planning assumptions until real portfolio data exists.</t>
  </si>
  <si>
    <t>Macro scenario basis and committee approval.</t>
  </si>
  <si>
    <t>Should be tied to Iraq macro indicators and liquidity conditions.</t>
  </si>
  <si>
    <t>Onerous / undrawn commitments provision</t>
  </si>
  <si>
    <t>ECL_Module</t>
  </si>
  <si>
    <t>Risk / Finance / Legal</t>
  </si>
  <si>
    <t>Approved limits register and Sharia contract review.</t>
  </si>
  <si>
    <t>AAOIFI FAS 30-ready concept.</t>
  </si>
  <si>
    <t>Allowance roll-forward: opening, charge, write-offs, recoveries, closing</t>
  </si>
  <si>
    <t>Finance</t>
  </si>
  <si>
    <t>Write-off policy, recoveries evidence and audit trail.</t>
  </si>
  <si>
    <t>Needed for note disclosure and audit review.</t>
  </si>
  <si>
    <t>Income Statement / Balance Sheet / Cash Flow linkage</t>
  </si>
  <si>
    <t>External auditor review.</t>
  </si>
  <si>
    <t>Provision is non-cash add-back in cash-flow statement.</t>
  </si>
  <si>
    <t>Provision impact on CAR and equity</t>
  </si>
  <si>
    <t>Annual_Summary / FS_Shareholders_Equity</t>
  </si>
  <si>
    <t>Finance / Risk</t>
  </si>
  <si>
    <t>Final prudential filters and CBI confirmation.</t>
  </si>
  <si>
    <t>Model uses simple Tier 1 proxy until final CBI capital treatment.</t>
  </si>
  <si>
    <t>Stress sensitivity for PD, LGD and stage migration</t>
  </si>
  <si>
    <t>ECL_Sensitivity</t>
  </si>
  <si>
    <t>Risk</t>
  </si>
  <si>
    <t>Quarterly stress-testing minutes and board/risk committee pack.</t>
  </si>
  <si>
    <t>Medium</t>
  </si>
  <si>
    <t>Supports regulatory resilience assessment.</t>
  </si>
  <si>
    <t>AAOIFI / IFRS / Iraq accounting mapping</t>
  </si>
  <si>
    <t>Finance / Sharia / Auditor</t>
  </si>
  <si>
    <t>SSB resolution and external auditor memo.</t>
  </si>
  <si>
    <t>Required because bank is Islamic and in Iraq banking sector.</t>
  </si>
  <si>
    <t>Loan-level ECL engine and actual data back-testing</t>
  </si>
  <si>
    <t>Future system output</t>
  </si>
  <si>
    <t>Risk / IT / Finance</t>
  </si>
  <si>
    <t>Core banking / ECL engine reports once operations begin.</t>
  </si>
  <si>
    <t>Cannot be fully completed before portfolio data exists.</t>
  </si>
  <si>
    <t>CBI-specific provisioning circulars and final reporting templates</t>
  </si>
  <si>
    <t>To be attached externally</t>
  </si>
  <si>
    <t>Compliance / Finance</t>
  </si>
  <si>
    <t>Latest CBI circulars and filing template confirmation.</t>
  </si>
  <si>
    <t>Confirm with CBI before submission.</t>
  </si>
  <si>
    <t>Central Bank of Iraq requirements readiness cost layer</t>
  </si>
  <si>
    <t>Purpose: Reverse audit observations that have a financial impact on fixed operating expenses and capital expenditures without losing the original baseline.</t>
  </si>
  <si>
    <t>Previous baseline of fixed operating expenses</t>
  </si>
  <si>
    <t>From the previous version of the model before reversing the audit observations.</t>
  </si>
  <si>
    <t>Core banking and critical-vendor operating and assurance costs</t>
  </si>
  <si>
    <t>Annual support, SLA, independent audit, and supplier confirmations.</t>
  </si>
  <si>
    <t>Cybersecurity, SOC and penetration testing</t>
  </si>
  <si>
    <t>Penetration tests, vulnerability scanning, security monitoring, and annual confirmation.</t>
  </si>
  <si>
    <t>AML, sanctions and operations monitoring systems</t>
  </si>
  <si>
    <t>Customer and process inspection, continuous monitoring, escalation and supervisory reporting.</t>
  </si>
  <si>
    <t>Payments, cards and PCI/3-D Secure/OTP readiness</t>
  </si>
  <si>
    <t>Operating fees for payments, cards and national exchange integrations.</t>
  </si>
  <si>
    <t>Customer service, complaints and call centre</t>
  </si>
  <si>
    <t>Customer support, complaints management, and ticketing system.</t>
  </si>
  <si>
    <t>Governance, Board of Directors, Committees and Suitability Tests</t>
  </si>
  <si>
    <t>fit-and-proper committee/governance compensation and testing support.</t>
  </si>
  <si>
    <t>Monitor agents/partners and cash access</t>
  </si>
  <si>
    <t>Supervision of cash-in/cash-out agents/partners with no public-facing branches.</t>
  </si>
  <si>
    <t>Credit history/bureau integration</t>
  </si>
  <si>
    <t>It begins before the launch of Islamic finance and after the first operational year.</t>
  </si>
  <si>
    <t>Deposit protection contribution/cost - temporary assumption</t>
  </si>
  <si>
    <t>A temporary assumption of 0.02% of year-end deposits, replaceable according to the requirements of the deposit protection system.</t>
  </si>
  <si>
    <t>Total fixed operating expenses after reversing CBI notes</t>
  </si>
  <si>
    <t>This row links with Assumptions!B65:F65 and then with Monthly_Model row 27.</t>
  </si>
  <si>
    <t>Capital expenditures for infrastructure and technology</t>
  </si>
  <si>
    <t>Previous baseline of infrastructure capital expenditures</t>
  </si>
  <si>
    <t>core banking system and core integrations</t>
  </si>
  <si>
    <t>Licensing/implementation/integration/configuration of core banking system reports.</t>
  </si>
  <si>
    <t>Data Residency, DR, and Tier 3/High Availability</t>
  </si>
  <si>
    <t>On-premises hosting, disaster recovery, backup, and infrastructure monitoring.</t>
  </si>
  <si>
    <t>Cards, payments, national exchange and CMS</t>
  </si>
  <si>
    <t>Card, payments, national exchange and settlement integrations.</t>
  </si>
  <si>
    <t>Cyber ​​and data security tools</t>
  </si>
  <si>
    <t>SIEM/EDR/DLP/encryption/data classification and monitoring tools.</t>
  </si>
  <si>
    <t>AML/CFT tools, sanctions screening and credit bureau</t>
  </si>
  <si>
    <t>Platforms for checking, monitoring and integrating credit history before financing.</t>
  </si>
  <si>
    <t>Total capital expenditures after reversing CBI observations</t>
  </si>
  <si>
    <t>This row links with Assumptions!B68:F68 and then with Monthly_Model row 31.</t>
  </si>
  <si>
    <t>Reverse map of CBI observations within the model</t>
  </si>
  <si>
    <t>Purpose: To link audit observations to the processing position within the financial model and required supporting documentation.</t>
  </si>
  <si>
    <t>#</t>
  </si>
  <si>
    <t>Requirement/gap</t>
  </si>
  <si>
    <t>Financial impact</t>
  </si>
  <si>
    <t>Inverse method in the model</t>
  </si>
  <si>
    <t>Treatment site</t>
  </si>
  <si>
    <t>Supporting document required</t>
  </si>
  <si>
    <t>The limit for individual deposits is 30 million dinars per client</t>
  </si>
  <si>
    <t>Added check of deposit limit and average deposit for each client.</t>
  </si>
  <si>
    <t>Deposit acceptance policy and client limits</t>
  </si>
  <si>
    <t>Partially inverted</t>
  </si>
  <si>
    <t>The limit for corporate/institutional deposits is 50 million dinars per client</t>
  </si>
  <si>
    <t>Adding examination and disclosure, with the need to divide individual/corporate deposits later.</t>
  </si>
  <si>
    <t>Corporate deposit limits policy</t>
  </si>
  <si>
    <t>Minimum/tiered capital</t>
  </si>
  <si>
    <t>It is located in the capital segments and linked to the CBI map.</t>
  </si>
  <si>
    <t>Assumptions!B51:F53 / FS_Shareholders_Equity</t>
  </si>
  <si>
    <t>Shareholders' pledge and proof of funds</t>
  </si>
  <si>
    <t>inverse</t>
  </si>
  <si>
    <t>Scope of credit facilities and products permitted</t>
  </si>
  <si>
    <t>possible</t>
  </si>
  <si>
    <t>Adding a note about limiting Islamic finance and not assuming conventional LC/LG.</t>
  </si>
  <si>
    <t>CBI_Standards_Mapping / AAOIFI_IFRS_Iraq</t>
  </si>
  <si>
    <t>Product policy and Sharia Board approval</t>
  </si>
  <si>
    <t>Requires supporting document</t>
  </si>
  <si>
    <t>Digital banking agents and cash-in/cash-out</t>
  </si>
  <si>
    <t>Added OPEX for agent control and cash access.</t>
  </si>
  <si>
    <t>CBI_Readiness_Costs</t>
  </si>
  <si>
    <t>Agent policy and SLA agreements</t>
  </si>
  <si>
    <t>Financially inverse</t>
  </si>
  <si>
    <t>ATM/cash access coverage</t>
  </si>
  <si>
    <t>Available across ATM ratio, teller cost and partners.</t>
  </si>
  <si>
    <t>Assumptions!B16:B17 / Monthly_Model row 30-32</t>
  </si>
  <si>
    <t>ATM/partner network plan</t>
  </si>
  <si>
    <t>core banking system and Tier-1 supplier</t>
  </si>
  <si>
    <t>Added OPEX and CAPEX to the banking system and integrations.</t>
  </si>
  <si>
    <t>Supplier contract/proposal and implementation plan</t>
  </si>
  <si>
    <t>Data residency within Iraq and Tier 3/DR</t>
  </si>
  <si>
    <t>Added CAPEX/OPEX for infrastructure and data accommodation.</t>
  </si>
  <si>
    <t>Infrastructure and data center plan</t>
  </si>
  <si>
    <t>Cybersecurity and annual testing and confirmation</t>
  </si>
  <si>
    <t>Addition of OPEX/CAPEX for cybersecurity and its tools.</t>
  </si>
  <si>
    <t>Cybersecurity policy and testing reports</t>
  </si>
  <si>
    <t>Readiness of payments, cards and the national exchange</t>
  </si>
  <si>
    <t>Added OPEX/CAPEX for cards and payments.</t>
  </si>
  <si>
    <t>CMS/PCI/National PBX contracts</t>
  </si>
  <si>
    <t>AML/CFT and penalties</t>
  </si>
  <si>
    <t>Added OPEX/CAPEX to compliance tools and resources.</t>
  </si>
  <si>
    <t>AML/CFT policy and operating plan</t>
  </si>
  <si>
    <t>Board of Directors and Governance</t>
  </si>
  <si>
    <t>indirect</t>
  </si>
  <si>
    <t>Add the cost of governance, fit and board.</t>
  </si>
  <si>
    <t>Governance Framework and Fit &amp; Proper</t>
  </si>
  <si>
    <t>Executive leadership and oversight functions</t>
  </si>
  <si>
    <t>Cost is enhanced across the OPEX layer and requires supporting staff detailing.</t>
  </si>
  <si>
    <t>Organizational structure and job description</t>
  </si>
  <si>
    <t>Customer service and call center</t>
  </si>
  <si>
    <t>Adding OPEX to the call center and complaints.</t>
  </si>
  <si>
    <t>Customer service and complaints policy</t>
  </si>
  <si>
    <t>Deposit protection/guarantee</t>
  </si>
  <si>
    <t>Add a temporary assumption of 0.02% of deposits.</t>
  </si>
  <si>
    <t>Confirm deposit protection requirements</t>
  </si>
  <si>
    <t>Temporarily reversed</t>
  </si>
  <si>
    <t>Credit history/inquiry bureau</t>
  </si>
  <si>
    <t>Yes, if financing starts</t>
  </si>
  <si>
    <t>Addition of cost begins before the launch of Islamic finance.</t>
  </si>
  <si>
    <t>Credit history integration agreement</t>
  </si>
  <si>
    <t>Quarterly CAR/NSFR and monthly LCR reports</t>
  </si>
  <si>
    <t>compliance</t>
  </si>
  <si>
    <t>Add a tab for checking quarterly and monthly reports.</t>
  </si>
  <si>
    <t>Supervisory reporting policy</t>
  </si>
  <si>
    <t>Business plan: competitors, segmentation, pricing, product map</t>
  </si>
  <si>
    <t>Add requirements map; A separate supporting document is required.</t>
  </si>
  <si>
    <t>Detailed business plan</t>
  </si>
  <si>
    <t>no-branch digital model</t>
  </si>
  <si>
    <t>It was previously reversed in the assumptions.</t>
  </si>
  <si>
    <t>Assumptions!A15:H15</t>
  </si>
  <si>
    <t>Digital Operating Model Note</t>
  </si>
  <si>
    <t>CBI requirements map</t>
  </si>
  <si>
    <t>Add this tab inside the form.</t>
  </si>
  <si>
    <t>Not applicable</t>
  </si>
  <si>
    <t>Additional updates to the detailed business plan</t>
  </si>
  <si>
    <t>Added page</t>
  </si>
  <si>
    <t>Purpose</t>
  </si>
  <si>
    <t>Reflection state</t>
  </si>
  <si>
    <t>Competitor analysis</t>
  </si>
  <si>
    <t>Competitor_Analysis</t>
  </si>
  <si>
    <t>Demonstrate competition against reference Iraqi banks and the opportunity for digital excellence</t>
  </si>
  <si>
    <t>Completed as a supporting qualitative model</t>
  </si>
  <si>
    <t>Customer segmentation</t>
  </si>
  <si>
    <t>Customer_Segmentation</t>
  </si>
  <si>
    <t>Link segments to products, channels and risks</t>
  </si>
  <si>
    <t>Completed as a supporting model</t>
  </si>
  <si>
    <t>Product and pricing map</t>
  </si>
  <si>
    <t>Product_Roadmap_Pricing</t>
  </si>
  <si>
    <t>Clarifying the phased launch and planned Sharia-compliant pricing</t>
  </si>
  <si>
    <t>Complete with no need for updating after final approvals</t>
  </si>
  <si>
    <t>Governorate and channel strategy</t>
  </si>
  <si>
    <t>Governorate_Channel_GTM</t>
  </si>
  <si>
    <t>Clarifying the expansion with no public-facing branches by governorate and channel</t>
  </si>
  <si>
    <t>Completed as a staged model</t>
  </si>
  <si>
    <t>Underserved segments</t>
  </si>
  <si>
    <t>Underserved_Segments</t>
  </si>
  <si>
    <t>Supporting the justifications for financial inclusion and market opportunity</t>
  </si>
  <si>
    <t>Digital bank agents and cash-in/cash-out</t>
  </si>
  <si>
    <t>Digital_Agents_Cash_Model</t>
  </si>
  <si>
    <t>Clarifying the model of agents, settlement, and control with no public-facing branches</t>
  </si>
  <si>
    <t>Completed as an operational prototype</t>
  </si>
  <si>
    <t>Customer deposit-cap control in accordance with digital banking controls</t>
  </si>
  <si>
    <t>Purpose: To ensure that the assumption of average deposit per client does not exceed individual/institutional client limits, noting the need to apply screening at the client level in the platform.</t>
  </si>
  <si>
    <t>Observation</t>
  </si>
  <si>
    <t>client</t>
  </si>
  <si>
    <t>Of assumptions</t>
  </si>
  <si>
    <t>Iraqi dinar</t>
  </si>
  <si>
    <t>Limit of individual deposits per client</t>
  </si>
  <si>
    <t>Licensing controls - used as a temporary regulatory limit</t>
  </si>
  <si>
    <t>Margin of safety versus personnel limit</t>
  </si>
  <si>
    <t>Positive = Average deposit is less than the limit</t>
  </si>
  <si>
    <t>Status of individual deposit limit checks</t>
  </si>
  <si>
    <t>condition</t>
  </si>
  <si>
    <t>Intermediate screening only; It is not a substitute for checking the client's level</t>
  </si>
  <si>
    <t>Limit of corporate/institutional deposits per client</t>
  </si>
  <si>
    <t>Licensing controls - requires subsequent division of corporate deposits</t>
  </si>
  <si>
    <t>Status of checking corporate deposit limit</t>
  </si>
  <si>
    <t>Intermediate screening only; Needs actual corporate deposit data</t>
  </si>
  <si>
    <t>Examining periodic supervisory reports</t>
  </si>
  <si>
    <t>Purpose: Add a follow-up layer to the monthly/quarterly reports required by the Central Bank of Iraq.</t>
  </si>
  <si>
    <t>Periodicity</t>
  </si>
  <si>
    <t>Measurement method in the model</t>
  </si>
  <si>
    <t>The data source in the form</t>
  </si>
  <si>
    <t>Escalation indicator</t>
  </si>
  <si>
    <t>Capital adequacy ratio (CAR).</t>
  </si>
  <si>
    <t>Lowest monthly value within the period/end of the period</t>
  </si>
  <si>
    <t>Monthly_Model row 48 / Basel_III_CBI</t>
  </si>
  <si>
    <t>Less than 12.5% ​​or less of the internal target</t>
  </si>
  <si>
    <t>It needs to be converted into quarterly report template when actually running.</t>
  </si>
  <si>
    <t>Liquidity Coverage Ratio (LCR).</t>
  </si>
  <si>
    <t>monthly</t>
  </si>
  <si>
    <t>Monthly monitoring against 100% and internal target</t>
  </si>
  <si>
    <t>Monthly_Model row 49</t>
  </si>
  <si>
    <t>Less than 100% or a significant decline</t>
  </si>
  <si>
    <t>CBI expects monthly monitoring and reporting when exceeded.</t>
  </si>
  <si>
    <t>Net Stable Funding Ratio (NSFR).</t>
  </si>
  <si>
    <t>Monthly_Model row 50</t>
  </si>
  <si>
    <t>Less than 100% or less of the internal target</t>
  </si>
  <si>
    <t>You need a quarterly report template.</t>
  </si>
  <si>
    <t>Exceeding customer deposit limits</t>
  </si>
  <si>
    <t>Monthly/Operational</t>
  </si>
  <si>
    <t>Average check in model; A physical check at the client level in the system</t>
  </si>
  <si>
    <t>Any customer exceeds the limit</t>
  </si>
  <si>
    <t>partial</t>
  </si>
  <si>
    <t>It requires its application within the platform and not just in the financial model.</t>
  </si>
  <si>
    <t>CBI Gaps Report</t>
  </si>
  <si>
    <t>Review the status of open items</t>
  </si>
  <si>
    <t>Any high item is not closed</t>
  </si>
  <si>
    <t>Used to manage the closure plan prior to filing.</t>
  </si>
  <si>
    <t>Competitor analysis - Iraqi banking market</t>
  </si>
  <si>
    <t>A qualitative comparison between Akkad Digital Bank and a number of reference Iraqi banks for the purpose of supporting the business plan and justifications for digital excellence.</t>
  </si>
  <si>
    <t>Regulatory note</t>
  </si>
  <si>
    <t>This page has been added to support business plan requirements, market understanding, agent model and digital channels according to licensing and regulatory requirements.</t>
  </si>
  <si>
    <t>Table 1 - Competitors comparison</t>
  </si>
  <si>
    <t>Reference competitor</t>
  </si>
  <si>
    <t>Type/positioning</t>
  </si>
  <si>
    <t>Strengths</t>
  </si>
  <si>
    <t>Gaps or limitations</t>
  </si>
  <si>
    <t>Opportunity Akkad Digital</t>
  </si>
  <si>
    <t>Most relevant segment</t>
  </si>
  <si>
    <t>Degree of competition</t>
  </si>
  <si>
    <t>Impact on the plan</t>
  </si>
  <si>
    <t>Rafidain Bank</t>
  </si>
  <si>
    <t>Government/wide customer base</t>
  </si>
  <si>
    <t>Wide traditional network and government salaries</t>
  </si>
  <si>
    <t>Operational overload, uneven digital experience, heavy dependence on branches</t>
  </si>
  <si>
    <t>Providing a lighter and faster digital experience for customers looking to open an account and service remotely</t>
  </si>
  <si>
    <t>Individuals, salaries, transfers and payments</t>
  </si>
  <si>
    <t>Excellence should be in ease of registration, speed of service, and clear digital controls.</t>
  </si>
  <si>
    <t>Al Rasheed Bank</t>
  </si>
  <si>
    <t>Government/salaries and traditional services</t>
  </si>
  <si>
    <t>Historical presence and trust among government segments</t>
  </si>
  <si>
    <t>Limitations of the fully digital banking model and product flexibility</t>
  </si>
  <si>
    <t>Target segments that are not served digitally and low-cost daily services</t>
  </si>
  <si>
    <t>Individuals, employees, small traders</t>
  </si>
  <si>
    <t>The need not to compete with traditional branches only, but rather to provide a complete digital channel model.</t>
  </si>
  <si>
    <t>Trade Bank of Iraq TBI</t>
  </si>
  <si>
    <t>Governmental/commercial and institutional</t>
  </si>
  <si>
    <t>Strength in trade, credits and corporate relations</t>
  </si>
  <si>
    <t>More institutional focus than digital retail</t>
  </si>
  <si>
    <t>Digital SME services, account management, payments, and simplified business connectivity</t>
  </si>
  <si>
    <t>SMEs, startups and traders</t>
  </si>
  <si>
    <t>Medium to high</t>
  </si>
  <si>
    <t>An opportunity in the segment of small companies that need a faster experience than traditional institutional banks.</t>
  </si>
  <si>
    <t>Bank of Baghdad</t>
  </si>
  <si>
    <t>Private/commercial and retail</t>
  </si>
  <si>
    <t>Relative flexibility and diverse banking products</t>
  </si>
  <si>
    <t>Possible digital competition and existing presence</t>
  </si>
  <si>
    <t>Excellence through digital onboarding, clear pricing, and Islamic compliant services</t>
  </si>
  <si>
    <t>Individuals, SME and cards</t>
  </si>
  <si>
    <t>Pricing, cards and digital apps should be monitored.</t>
  </si>
  <si>
    <t>Selected local Islamic banks</t>
  </si>
  <si>
    <t>Private/Islamic</t>
  </si>
  <si>
    <t>Legal acceptance among conservative segments</t>
  </si>
  <si>
    <t>Some models are still sub/traditional and not fully digital</t>
  </si>
  <si>
    <t>An integrated digital Islamic bank with daily products and tiered financing</t>
  </si>
  <si>
    <t>Conservative segments, youth, merchants, families</t>
  </si>
  <si>
    <t>The Akkad feature must combine Islamic identity and digital speed, not just one of them.</t>
  </si>
  <si>
    <t>Competitor analysis summary</t>
  </si>
  <si>
    <t>Main conclusion</t>
  </si>
  <si>
    <t>The market contains banks that are strong in terms of trust and presence, but the opportunity lies in an Islamic digital bank with no public-facing branches, focusing on speed of opening, mobile experience, financial inclusion, and SME services.</t>
  </si>
  <si>
    <t>Use it in a financial model</t>
  </si>
  <si>
    <t>It explains the assumptions of incremental growth, investment in technology and compliance, and gradual launch of products and channels without building public-facing branches.</t>
  </si>
  <si>
    <t>Reservation</t>
  </si>
  <si>
    <t>The analysis is qualitative and should be updated with field data/actual prices/market share when available before commercial launch.</t>
  </si>
  <si>
    <t>Segmentation of target customers</t>
  </si>
  <si>
    <t>This table shows the target segments, their needs, suitable products, and service risks for each segment.</t>
  </si>
  <si>
    <t>Table 1 - Customer segments</t>
  </si>
  <si>
    <t>Slide</t>
  </si>
  <si>
    <t>Need</t>
  </si>
  <si>
    <t>Suitable products</t>
  </si>
  <si>
    <t>Main channel</t>
  </si>
  <si>
    <t>KYC/AML risks</t>
  </si>
  <si>
    <t>Young digital individuals</t>
  </si>
  <si>
    <t>18-35 years, smartphone users</t>
  </si>
  <si>
    <t>Daily account, card, transfers, QR, notifications</t>
  </si>
  <si>
    <t>Digital account, virtual/debit card, savings wallet</t>
  </si>
  <si>
    <t>Mobile and web application</t>
  </si>
  <si>
    <t>Low to medium</t>
  </si>
  <si>
    <t>An important entry segment for increasing low-cost accounts.</t>
  </si>
  <si>
    <t>Employees and salary earners</t>
  </si>
  <si>
    <t>Regular income and need for salary management</t>
  </si>
  <si>
    <t>Receiving salary, paying bills, transfers, saving</t>
  </si>
  <si>
    <t>Salary account, savings pockets, card, conditional subsequent financing</t>
  </si>
  <si>
    <t>Digital + payroll partners</t>
  </si>
  <si>
    <t>Low</t>
  </si>
  <si>
    <t>Supports deposit growth and account stability.</t>
  </si>
  <si>
    <t>Merchants and small business owners</t>
  </si>
  <si>
    <t>SME and local stores</t>
  </si>
  <si>
    <t>Collection, payment of suppliers, salaries, account statements</t>
  </si>
  <si>
    <t>SME account, payments, payroll, user permissions</t>
  </si>
  <si>
    <t>Business application + API is futuristic</t>
  </si>
  <si>
    <t>It connects retail to business and creates transaction revenue.</t>
  </si>
  <si>
    <t>Women and families</t>
  </si>
  <si>
    <t>Segments that may have less access to services</t>
  </si>
  <si>
    <t>Secure account, savings, family support, financial education</t>
  </si>
  <si>
    <t>Digital account, family banking, notifications, secure boundaries</t>
  </si>
  <si>
    <t>Phone + call center support</t>
  </si>
  <si>
    <t>Important for financial inclusion and societal acceptance.</t>
  </si>
  <si>
    <t>Less-banked areas</t>
  </si>
  <si>
    <t>Governorates/districts outside large centers</t>
  </si>
  <si>
    <t>Remote account opening, cash-in/out via agents</t>
  </si>
  <si>
    <t>Digital account + authorized agents + cash points</t>
  </si>
  <si>
    <t>Agents/ATM/Phone</t>
  </si>
  <si>
    <t>Gradually rising</t>
  </si>
  <si>
    <t>You need a strong agent model and compliance oversight.</t>
  </si>
  <si>
    <t>Islamic finance clients in the future</t>
  </si>
  <si>
    <t>Individuals and SMEs after portfolio maturity</t>
  </si>
  <si>
    <t>Murabaha/Ijarah/financing with Sharia controls</t>
  </si>
  <si>
    <t>Sharia-compliant financing after building a dealing history</t>
  </si>
  <si>
    <t>Digital + credit decision</t>
  </si>
  <si>
    <t>It requires a credit history, credit bureau linkage, ECL, and Sharia controls.</t>
  </si>
  <si>
    <t>Slide follow-up indicators</t>
  </si>
  <si>
    <t>Measurement indicator</t>
  </si>
  <si>
    <t>Follow-up method</t>
  </si>
  <si>
    <t>Form link</t>
  </si>
  <si>
    <t>Conversion rate from registered to activated account</t>
  </si>
  <si>
    <t>Monthly follow-up by segment and channel</t>
  </si>
  <si>
    <t>Supports defaults for active accounts and deposits.</t>
  </si>
  <si>
    <t>Transaction volume per customer</t>
  </si>
  <si>
    <t>Analysis by product and channel</t>
  </si>
  <si>
    <t>Supports fee revenue and payments.</t>
  </si>
  <si>
    <t>Customer Acquisition Cost (CAC).</t>
  </si>
  <si>
    <t>By channel, governorate, and segment</t>
  </si>
  <si>
    <t>Supports controlling marketing and operational expenses.</t>
  </si>
  <si>
    <t>Risk and compliance indicators</t>
  </si>
  <si>
    <t>KYC rejections, AML cases, complaints</t>
  </si>
  <si>
    <t>Supports oversight costs and compliance resources.</t>
  </si>
  <si>
    <t>A gradual launch map for Islamic digital products with a planned pricing framework that can be updated after final approvals.</t>
  </si>
  <si>
    <t>Table 1 - Product map</t>
  </si>
  <si>
    <t>stage</t>
  </si>
  <si>
    <t>Period</t>
  </si>
  <si>
    <t>Digital products</t>
  </si>
  <si>
    <t>Islamic/Sharia structure</t>
  </si>
  <si>
    <t>Pricing logic</t>
  </si>
  <si>
    <t>Launch priority</t>
  </si>
  <si>
    <t>Financial model relevance</t>
  </si>
  <si>
    <t>Establishment stage</t>
  </si>
  <si>
    <t>2026-2027</t>
  </si>
  <si>
    <t>Digital account, e-KYC, debit card, statements, notifications</t>
  </si>
  <si>
    <t>Current accounts and daily transaction accounts without interest</t>
  </si>
  <si>
    <t>Low/free acquisition fees, basic card and transaction fees</t>
  </si>
  <si>
    <t>Individuals and financial inclusion</t>
  </si>
  <si>
    <t>Tied to technology and compliance investment before full revenue.</t>
  </si>
  <si>
    <t>Daily services stage</t>
  </si>
  <si>
    <t>2027-2028</t>
  </si>
  <si>
    <t>Internal transfers, bill payments, QR, savings wallets, family banking</t>
  </si>
  <si>
    <t>Savings/investment accounts in Sharia-compliant structures after approval by the Sharia Board</t>
  </si>
  <si>
    <t>Nominal transfer fees, service fees, and optional monthly packages</t>
  </si>
  <si>
    <t>Individuals and salaries</t>
  </si>
  <si>
    <t>Increases activity per customer and increases non-financing revenue.</t>
  </si>
  <si>
    <t>SME stage</t>
  </si>
  <si>
    <t>2028-2029</t>
  </si>
  <si>
    <t>Business account, payroll, user permissions, statements, supplier payments</t>
  </si>
  <si>
    <t>Compatible business accounts, collections and payments services</t>
  </si>
  <si>
    <t>SME monthly packages + transaction fees + payroll services</t>
  </si>
  <si>
    <t>SME and traders</t>
  </si>
  <si>
    <t>Raises operational fees and deposits.</t>
  </si>
  <si>
    <t>Gradual financing stage</t>
  </si>
  <si>
    <t>2029-2030</t>
  </si>
  <si>
    <t>Financing individuals and SMEs after building a dealing history</t>
  </si>
  <si>
    <t>Murabaha/Ijara/Musharaka according to Sharia and regulatory approvals</t>
  </si>
  <si>
    <t>Sharia-compliant profit margin, permissible management fees, risk pricing</t>
  </si>
  <si>
    <t>Creditworthy customers</t>
  </si>
  <si>
    <t>Requires ECL, credit bureau linkage and concentration controls.</t>
  </si>
  <si>
    <t>Open ecosystem stage</t>
  </si>
  <si>
    <t>2030-2031</t>
  </si>
  <si>
    <t>APIs, fintech partnerships and digital agents</t>
  </si>
  <si>
    <t>Banking services as a platform within the controls</t>
  </si>
  <si>
    <t>API fees, partnership services, distribution commissions</t>
  </si>
  <si>
    <t>Partners, agents and SME</t>
  </si>
  <si>
    <t>Creates growth channels without public-facing branches.</t>
  </si>
  <si>
    <t>Table 2 - Schematic pricing framework</t>
  </si>
  <si>
    <t>Product/service</t>
  </si>
  <si>
    <t>Price logic</t>
  </si>
  <si>
    <t>Justification for action</t>
  </si>
  <si>
    <t>Open a digital account</t>
  </si>
  <si>
    <t>Free or nominal</t>
  </si>
  <si>
    <t>Increase adoption and reduce the initial barrier</t>
  </si>
  <si>
    <t>Subject to review after launch</t>
  </si>
  <si>
    <t>Debit/Virtual Card</t>
  </si>
  <si>
    <t>Limited issuance/renewal fees</t>
  </si>
  <si>
    <t>Recovery of the cost of CMS, cards and PCI</t>
  </si>
  <si>
    <t>Linked to networking agreements and regulator approval</t>
  </si>
  <si>
    <t>Transfers and payments</t>
  </si>
  <si>
    <t>Small fees depending on the type of operation</t>
  </si>
  <si>
    <t>Recurring transaction revenue</t>
  </si>
  <si>
    <t>Full disclosure must be made to the customer</t>
  </si>
  <si>
    <t>SME accounts</t>
  </si>
  <si>
    <t>Monthly packages and payroll services</t>
  </si>
  <si>
    <t>Added value for small businesses</t>
  </si>
  <si>
    <t>It should be linked to the level of service and not to hidden fees</t>
  </si>
  <si>
    <t>Islamic finance</t>
  </si>
  <si>
    <t>Sharia-compliant profit margin depending on the product and risk</t>
  </si>
  <si>
    <t>Finance portfolio income</t>
  </si>
  <si>
    <t>It should not be launched until the credit and Sharia Board are ready</t>
  </si>
  <si>
    <t>Market entry strategy by governorate and channel</t>
  </si>
  <si>
    <t>Incremental no-branch digital expansion model: digital app, call center, ATM/cash partners, and digital bank agents upon adoption.</t>
  </si>
  <si>
    <t>Table 1 - Governorate and canal plan</t>
  </si>
  <si>
    <t>Governorate/range</t>
  </si>
  <si>
    <t>Launch wave</t>
  </si>
  <si>
    <t>Channels</t>
  </si>
  <si>
    <t>Target segments</t>
  </si>
  <si>
    <t>Priority justification</t>
  </si>
  <si>
    <t>Launch period</t>
  </si>
  <si>
    <t>Financial/operational impact</t>
  </si>
  <si>
    <t>Baghdad</t>
  </si>
  <si>
    <t>Wave 1</t>
  </si>
  <si>
    <t>Application + Web + Call Center + Cash Partners</t>
  </si>
  <si>
    <t>People, Payroll, SME</t>
  </si>
  <si>
    <t>Higher population and commercial density and marketing capacity</t>
  </si>
  <si>
    <t>KYC, service pressure, complaints</t>
  </si>
  <si>
    <t>2027</t>
  </si>
  <si>
    <t>An base case starting point for learning and control.</t>
  </si>
  <si>
    <t>Basra</t>
  </si>
  <si>
    <t>Application + Monetary Partners + SME</t>
  </si>
  <si>
    <t>Salaries, traders, small companies</t>
  </si>
  <si>
    <t>Economic activity and trade flows</t>
  </si>
  <si>
    <t>The risk of AML is comparatively higher in commercial activity</t>
  </si>
  <si>
    <t>You need strong limits and transaction control.</t>
  </si>
  <si>
    <t>Erbil / Kurdistan</t>
  </si>
  <si>
    <t>Wave 2</t>
  </si>
  <si>
    <t>Application + partners + bilingual support in the future</t>
  </si>
  <si>
    <t>Individuals, merchants and services</t>
  </si>
  <si>
    <t>Economic, tourism and commercial activity</t>
  </si>
  <si>
    <t>Language/local operating requirements</t>
  </si>
  <si>
    <t>2028</t>
  </si>
  <si>
    <t>Expansion after central operation stabilizes.</t>
  </si>
  <si>
    <t>Najaf and Karbala</t>
  </si>
  <si>
    <t>App + Payments + Partners</t>
  </si>
  <si>
    <t>Families, traders, visitors and services</t>
  </si>
  <si>
    <t>Services and payments activity</t>
  </si>
  <si>
    <t>Seasonality and cash movement</t>
  </si>
  <si>
    <t>Opportunity in local payments and transfers.</t>
  </si>
  <si>
    <t>Nineveh, Anbar and Diyala</t>
  </si>
  <si>
    <t>Wave 3</t>
  </si>
  <si>
    <t>Application + selected cash agents</t>
  </si>
  <si>
    <t>Less serving segments, small SME</t>
  </si>
  <si>
    <t>Financial inclusion opportunity</t>
  </si>
  <si>
    <t>Operational and agent/cash risks</t>
  </si>
  <si>
    <t>Requires stronger agent and field oversight model.</t>
  </si>
  <si>
    <t>Dhi Qar, Maysan, Wasit, Al-Muthanna, Al-Qadisiyah</t>
  </si>
  <si>
    <t>Application + call center + cash points</t>
  </si>
  <si>
    <t>Individuals, families and small traders</t>
  </si>
  <si>
    <t>Covering financial inclusion outside the centres</t>
  </si>
  <si>
    <t>Cost of awareness and service</t>
  </si>
  <si>
    <t>2029-2031</t>
  </si>
  <si>
    <t>Expansion is based on the quality of adoption indicators.</t>
  </si>
  <si>
    <t>Table 2 - Channel strategy</t>
  </si>
  <si>
    <t>Channel</t>
  </si>
  <si>
    <t>The role</t>
  </si>
  <si>
    <t>Control requirements</t>
  </si>
  <si>
    <t>Cost relevance</t>
  </si>
  <si>
    <t>Phone application</t>
  </si>
  <si>
    <t>The main channel for account opening and service</t>
  </si>
  <si>
    <t>2FA, encryption, fraud monitoring, audit logs</t>
  </si>
  <si>
    <t>Technical and operational cost within CBI readiness.</t>
  </si>
  <si>
    <t>Web</t>
  </si>
  <si>
    <t>Support and account management service</t>
  </si>
  <si>
    <t>Controlling sessions, permissions, and protecting interfaces</t>
  </si>
  <si>
    <t>Within the digital architecture.</t>
  </si>
  <si>
    <t>Call center</t>
  </si>
  <si>
    <t>Customer support, complaints and onboarding assistance</t>
  </si>
  <si>
    <t>Logging, SLA, escalation of complaints</t>
  </si>
  <si>
    <t>Added in CBI readiness costs.</t>
  </si>
  <si>
    <t>ATM/cash partners</t>
  </si>
  <si>
    <t>Cash-in/cash-out with no public-facing branches</t>
  </si>
  <si>
    <t>Matching, limits, settlement, agent monitoring</t>
  </si>
  <si>
    <t>Added within the agent and cash support model.</t>
  </si>
  <si>
    <t>Unserved segments and justifications for financial inclusion</t>
  </si>
  <si>
    <t>It explains why the market needs an Islamic digital bank, and which segments can be reached with no public-facing branches.</t>
  </si>
  <si>
    <t>Table 1 - Unserved segments</t>
  </si>
  <si>
    <t>current gap</t>
  </si>
  <si>
    <t>Access mechanism</t>
  </si>
  <si>
    <t>Strategic justification</t>
  </si>
  <si>
    <t>The unbanked</t>
  </si>
  <si>
    <t>Not having an account or difficulty reaching branches</t>
  </si>
  <si>
    <t>Digital account opening, simplified KYC documentation, call center support</t>
  </si>
  <si>
    <t>Daily account, debit card, notifications</t>
  </si>
  <si>
    <t>The rate of opening an account and activating the first transaction</t>
  </si>
  <si>
    <t>High priority</t>
  </si>
  <si>
    <t>Verify the identity and source of funds</t>
  </si>
  <si>
    <t>Supports the goals of financial inclusion and digital transformation.</t>
  </si>
  <si>
    <t>Youth and students</t>
  </si>
  <si>
    <t>Need for low-cost digital services</t>
  </si>
  <si>
    <t>Simple app, QR, small savings</t>
  </si>
  <si>
    <t>Digital account, virtual card, savings wallet</t>
  </si>
  <si>
    <t>Monthly activity for each account</t>
  </si>
  <si>
    <t>Digital fraud and awareness</t>
  </si>
  <si>
    <t>Creates a long-term customer base.</t>
  </si>
  <si>
    <t>Need for a secure account and management of family expenses</t>
  </si>
  <si>
    <t>Family banking, limits, notifications, clear Arabic support</t>
  </si>
  <si>
    <t>Family account, savings wallet, internal transfers</t>
  </si>
  <si>
    <t>Number of active accounts and savings volume</t>
  </si>
  <si>
    <t>Medium-high</t>
  </si>
  <si>
    <t>Privacy and data protection</t>
  </si>
  <si>
    <t>Important for community trust and inclusion.</t>
  </si>
  <si>
    <t>SME and small traders</t>
  </si>
  <si>
    <t>Cash dependence and weak financial management tools</t>
  </si>
  <si>
    <t>Digital business account, payroll, statements, payments</t>
  </si>
  <si>
    <t>SME account, transfers, business cards</t>
  </si>
  <si>
    <t>Number of business transactions and deposits</t>
  </si>
  <si>
    <t>AML and separation of business funds</t>
  </si>
  <si>
    <t>Increases operating revenues and deposits.</t>
  </si>
  <si>
    <t>Areas outside city centers</t>
  </si>
  <si>
    <t>Geographical distance and weak branch coverage</t>
  </si>
  <si>
    <t>Cash agents, application, call center</t>
  </si>
  <si>
    <t>Digital account + cash-in/out</t>
  </si>
  <si>
    <t>Percentage of accounts by governorate</t>
  </si>
  <si>
    <t>Gradient</t>
  </si>
  <si>
    <t>Agent control and settlement</t>
  </si>
  <si>
    <t>Supports a model of no public branches with cash points.</t>
  </si>
  <si>
    <t>Freelancers/gig</t>
  </si>
  <si>
    <t>Irregular income and need to prove transactions</t>
  </si>
  <si>
    <t>Account activity analysis, invoices, digital history</t>
  </si>
  <si>
    <t>Account, payments, conditional subsequent financing</t>
  </si>
  <si>
    <t>Regularity of flows and transaction history</t>
  </si>
  <si>
    <t>Subsequent credit risk</t>
  </si>
  <si>
    <t>Prepares a compatible future financing base.</t>
  </si>
  <si>
    <t>Digital bank agent model and cash support</t>
  </si>
  <si>
    <t>It shows how cash-in/cash-out can be supported without setting up public branches, with the bank having full responsibility for agents and oversight.</t>
  </si>
  <si>
    <t>Table 1 - Agent and cash-support model</t>
  </si>
  <si>
    <t>Component</t>
  </si>
  <si>
    <t>Definition</t>
  </si>
  <si>
    <t>Operational scope</t>
  </si>
  <si>
    <t>Restrictions</t>
  </si>
  <si>
    <t>Oversight requirements</t>
  </si>
  <si>
    <t>Settlement</t>
  </si>
  <si>
    <t>Impact on the model</t>
  </si>
  <si>
    <t>The role of the digital agent</t>
  </si>
  <si>
    <t>Authorized cash/service support point</t>
  </si>
  <si>
    <t>Cash-in, cash-out, onboarding assistance without an independent credit decision</t>
  </si>
  <si>
    <t>It is not considered a public branch and does not carry out work outside its mandate</t>
  </si>
  <si>
    <t>Agent agreement, training, KYC controls, and transaction limits</t>
  </si>
  <si>
    <t>Daily monitoring and reconciliation</t>
  </si>
  <si>
    <t>Cash/AML/reputational risk</t>
  </si>
  <si>
    <t>Supports financial inclusion with no public-facing branches.</t>
  </si>
  <si>
    <t>Cash-in</t>
  </si>
  <si>
    <t>Cash deposit to the customer's account</t>
  </si>
  <si>
    <t>Accept cash within specified limits and instant confirmation</t>
  </si>
  <si>
    <t>Process/daily limits, digital receipt</t>
  </si>
  <si>
    <t>Link to the bank system and monitoring lists</t>
  </si>
  <si>
    <t>End-of-day reconciliation</t>
  </si>
  <si>
    <t>Segmentation of operations/funds source</t>
  </si>
  <si>
    <t>Contributes to the growth of deposits.</t>
  </si>
  <si>
    <t>Cash-out</t>
  </si>
  <si>
    <t>Withdrawing cash from the account</t>
  </si>
  <si>
    <t>Order via the app or agent point</t>
  </si>
  <si>
    <t>OTP/2FA, identity verification, limits</t>
  </si>
  <si>
    <t>Proof of process and audit trail</t>
  </si>
  <si>
    <t>Settlement with the agent</t>
  </si>
  <si>
    <t>Impersonation/fraud</t>
  </si>
  <si>
    <t>Provides a cash alternative to branches.</t>
  </si>
  <si>
    <t>Bank's responsibility</t>
  </si>
  <si>
    <t>The final responsibility of the bank</t>
  </si>
  <si>
    <t>Selection, approval, monitoring, complaints, penalties</t>
  </si>
  <si>
    <t>Final compliance responsibility may not be delegated to the agent</t>
  </si>
  <si>
    <t>Agent Policy, AML, Complaints</t>
  </si>
  <si>
    <t>Internal control reports</t>
  </si>
  <si>
    <t>Outsourcing risks</t>
  </si>
  <si>
    <t>A fundamental regulatory requirement.</t>
  </si>
  <si>
    <t>Settlement and matching</t>
  </si>
  <si>
    <t>Settlement of agent accounts</t>
  </si>
  <si>
    <t>Daily file of transactions and differences</t>
  </si>
  <si>
    <t>float limits and possible guarantees</t>
  </si>
  <si>
    <t>A settlement and reconciliation system</t>
  </si>
  <si>
    <t>Exception management and audit</t>
  </si>
  <si>
    <t>Cash differences</t>
  </si>
  <si>
    <t>Reflected in operational costs.</t>
  </si>
  <si>
    <t>Table 2 - Operating Assumptions for Agents and Cash</t>
  </si>
  <si>
    <t>2029</t>
  </si>
  <si>
    <t>2030</t>
  </si>
  <si>
    <t>2031</t>
  </si>
  <si>
    <t>Number of agents/cash points planned</t>
  </si>
  <si>
    <t>Gradual launch after commissioning and testing approvals.</t>
  </si>
  <si>
    <t>The cost of monitoring and operating agents [billion dinars]</t>
  </si>
  <si>
    <t>Associated with the agent line item in the CBI Readiness layer.</t>
  </si>
  <si>
    <t>Average monthly cash-in/out transactions per point</t>
  </si>
  <si>
    <t>A planning estimate, not a final commitment.</t>
  </si>
  <si>
    <t>Total annual cash-in/out transactions</t>
  </si>
  <si>
    <t>An operational indicator does not replace the detailed payments model.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</si>
</sst>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0.0%;[Red]\(0.0%\);\-"/>
    <numFmt numFmtId="165" formatCode="0.00\x"/>
    <numFmt numFmtId="166" formatCode="#,##0.000;[Red]\(#,##0.000\);\-"/>
    <numFmt numFmtId="167" formatCode="yyyy\-mm\-dd"/>
    <numFmt numFmtId="168" formatCode="#,##0.00;[Red]\(#,##0.00\);\-"/>
    <numFmt numFmtId="169" formatCode="0.0000"/>
    <numFmt numFmtId="170" formatCode="#,##0;[Red]\(#,##0\);\-"/>
    <numFmt numFmtId="171" formatCode="#,##0.0;[Red]\(#,##0.0\);\-"/>
  </numFmts>
  <fonts count="27">
    <font>
      <sz val="11"/>
      <name val="Carlito"/>
    </font>
    <font>
      <b/>
      <sz val="14"/>
      <color rgb="FFFFFFFF"/>
      <name val="Carlito"/>
    </font>
    <font>
      <i/>
      <sz val="10"/>
      <color rgb="FF1F4E79"/>
      <name val="Carlito"/>
    </font>
    <font>
      <b/>
      <sz val="11"/>
      <color rgb="FF0F2742"/>
      <name val="Carlito"/>
    </font>
    <font>
      <b/>
      <sz val="11"/>
      <color rgb="FFFFFFFF"/>
      <name val="Carlito"/>
    </font>
    <font>
      <sz val="11"/>
      <color rgb="FF008000"/>
      <name val="Carlito"/>
    </font>
    <font>
      <sz val="11"/>
      <color rgb="FF0000FF"/>
      <name val="Carlito"/>
    </font>
    <font>
      <b/>
      <sz val="11"/>
      <name val="Carlito"/>
    </font>
    <font>
      <sz val="8"/>
      <name val="Carlito"/>
    </font>
    <font>
      <b/>
      <sz val="8"/>
      <color rgb="FFFFFFFF"/>
      <name val="Carlito"/>
    </font>
    <font>
      <b/>
      <sz val="11"/>
      <color rgb="FF000000"/>
      <name val="Carlito"/>
    </font>
    <font>
      <b/>
      <sz val="14"/>
      <color rgb="FFFFFFFF"/>
      <name val="Arial"/>
      <family val="2"/>
    </font>
    <font>
      <sz val="11"/>
      <name val="Arial"/>
      <family val="2"/>
    </font>
    <font>
      <i/>
      <sz val="11"/>
      <color rgb="FF4B5563"/>
      <name val="Arial"/>
      <family val="2"/>
    </font>
    <font>
      <b/>
      <sz val="11"/>
      <color rgb="FFFFFFFF"/>
      <name val="Arial"/>
      <family val="2"/>
    </font>
    <font>
      <b/>
      <sz val="11"/>
      <color rgb="FF000000"/>
      <name val="Arial"/>
      <family val="2"/>
    </font>
    <font>
      <sz val="11"/>
      <color rgb="FF1F2937"/>
      <name val="Carlito"/>
    </font>
    <font>
      <sz val="11"/>
      <color rgb="FF000000"/>
      <name val="Carlito"/>
    </font>
    <font>
      <b/>
      <sz val="11"/>
      <name val="Arial"/>
      <family val="2"/>
    </font>
    <font>
      <b/>
      <sz val="15"/>
      <color rgb="FF1F3A4A"/>
      <name val="Carlito"/>
    </font>
    <font>
      <i/>
      <sz val="11"/>
      <color rgb="FF5B6472"/>
      <name val="Carlito"/>
    </font>
    <font>
      <b/>
      <sz val="11"/>
      <color rgb="FFFFFFFF"/>
      <name val="Carlito"/>
    </font>
    <font>
      <b/>
      <sz val="11"/>
      <color rgb="FF1F3A4A"/>
      <name val="Carlito"/>
    </font>
    <font>
      <b/>
      <sz val="16"/>
      <color rgb="FFFFFFFF"/>
      <name val="Arial"/>
      <family val="2"/>
    </font>
    <font>
      <sz val="10"/>
      <color rgb="FF243447"/>
      <name val="Arial"/>
      <family val="2"/>
    </font>
    <font>
      <b/>
      <sz val="11"/>
      <color rgb="FFFFFFFF"/>
      <name val="Arial"/>
      <family val="2"/>
    </font>
    <font>
      <b/>
      <sz val="12"/>
      <color rgb="FFFFFFFF"/>
      <name val="Arial"/>
      <family val="2"/>
    </font>
  </fonts>
  <fills count="21">
    <fill>
      <patternFill patternType="none"/>
    </fill>
    <fill>
      <patternFill patternType="gray125"/>
    </fill>
    <fill>
      <patternFill patternType="solid">
        <fgColor rgb="FF0F2742"/>
      </patternFill>
    </fill>
    <fill>
      <patternFill patternType="solid">
        <fgColor rgb="FFEAF2F8"/>
      </patternFill>
    </fill>
    <fill>
      <patternFill patternType="solid">
        <fgColor rgb="FFD9EAF7"/>
      </patternFill>
    </fill>
    <fill>
      <patternFill patternType="solid">
        <fgColor rgb="FF1F4E79"/>
      </patternFill>
    </fill>
    <fill>
      <patternFill patternType="solid">
        <fgColor rgb="FF0B1F3A"/>
      </patternFill>
    </fill>
    <fill>
      <patternFill patternType="solid">
        <fgColor rgb="FFF3F6F9"/>
      </patternFill>
    </fill>
    <fill>
      <patternFill patternType="solid">
        <fgColor rgb="FFE8F5E9"/>
      </patternFill>
    </fill>
    <fill>
      <patternFill patternType="solid">
        <fgColor rgb="FFFFF2CC"/>
      </patternFill>
    </fill>
    <fill>
      <patternFill patternType="solid">
        <fgColor rgb="FFE8EEF7"/>
      </patternFill>
    </fill>
    <fill>
      <patternFill patternType="solid">
        <fgColor rgb="FF17365D"/>
      </patternFill>
    </fill>
    <fill>
      <patternFill patternType="solid">
        <fgColor rgb="FFFFF2CC"/>
      </patternFill>
    </fill>
    <fill>
      <patternFill patternType="solid">
        <fgColor rgb="FF1F4E78"/>
      </patternFill>
    </fill>
    <fill>
      <patternFill patternType="solid">
        <fgColor rgb="FF17324D"/>
      </patternFill>
    </fill>
    <fill>
      <patternFill patternType="solid">
        <fgColor rgb="FFEAF4FB"/>
      </patternFill>
    </fill>
    <fill>
      <patternFill patternType="solid">
        <fgColor rgb="FFB7844F"/>
      </patternFill>
    </fill>
    <fill>
      <patternFill patternType="solid">
        <fgColor rgb="FFF8F1E8"/>
      </patternFill>
    </fill>
    <fill>
      <patternFill patternType="solid">
        <fgColor rgb="FF1F6F9F"/>
      </patternFill>
    </fill>
    <fill>
      <patternFill patternType="solid">
        <fgColor rgb="FFF6F8FA"/>
      </patternFill>
    </fill>
    <fill>
      <patternFill patternType="solid">
        <fgColor rgb="FFFFFFFF"/>
      </patternFill>
    </fill>
  </fills>
  <borders count="29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D9E2EC"/>
      </left>
      <right style="thin">
        <color rgb="FFD9E2EC"/>
      </right>
      <top style="thin">
        <color rgb="FFD9E2EC"/>
      </top>
      <bottom style="thin">
        <color rgb="FFD9E2EC"/>
      </bottom>
      <diagonal/>
    </border>
    <border>
      <left style="thin">
        <color rgb="FFD9E2EA"/>
      </left>
      <right style="thin">
        <color rgb="FFD9E2EA"/>
      </right>
      <top style="medium">
        <color rgb="FF17324D"/>
      </top>
      <bottom style="medium">
        <color rgb="FF17324D"/>
      </bottom>
      <diagonal/>
    </border>
    <border>
      <left style="thin">
        <color rgb="FFD9E2EA"/>
      </left>
      <right style="thin">
        <color rgb="FFD9E2EA"/>
      </right>
      <top style="thin">
        <color rgb="FFD9E2EA"/>
      </top>
      <bottom style="thin">
        <color rgb="FFD9E2EA"/>
      </bottom>
      <diagonal/>
    </border>
  </borders>
  <cellStyleXfs count="1">
    <xf numFmtId="0" fontId="0" fillId="0" borderId="25"/>
  </cellStyleXfs>
  <cellXfs count="147">
    <xf numFmtId="0" fontId="0" fillId="0" borderId="0" xfId="0" applyBorder="1"/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left" vertical="center" wrapText="1"/>
    </xf>
    <xf numFmtId="0" fontId="3" fillId="4" borderId="1" xfId="0" applyFont="1" applyFill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3" fillId="4" borderId="3" xfId="0" applyFont="1" applyFill="1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4" fillId="5" borderId="1" xfId="0" applyFont="1" applyFill="1" applyBorder="1" applyAlignment="1">
      <alignment horizontal="left" vertical="center" wrapText="1"/>
    </xf>
    <xf numFmtId="0" fontId="4" fillId="5" borderId="6" xfId="0" applyFont="1" applyFill="1" applyBorder="1" applyAlignment="1">
      <alignment horizontal="left" vertical="center" wrapText="1"/>
    </xf>
    <xf numFmtId="0" fontId="4" fillId="5" borderId="2" xfId="0" applyFont="1" applyFill="1" applyBorder="1" applyAlignment="1">
      <alignment horizontal="left" vertical="center" wrapText="1"/>
    </xf>
    <xf numFmtId="1" fontId="0" fillId="0" borderId="3" xfId="0" applyNumberFormat="1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1" fontId="0" fillId="0" borderId="8" xfId="0" applyNumberFormat="1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17" fillId="10" borderId="0" xfId="0" applyFont="1" applyFill="1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167" fontId="6" fillId="0" borderId="7" xfId="0" applyNumberFormat="1" applyFont="1" applyBorder="1" applyAlignment="1">
      <alignment horizontal="left" vertical="center" wrapText="1"/>
    </xf>
    <xf numFmtId="168" fontId="6" fillId="0" borderId="7" xfId="0" applyNumberFormat="1" applyFont="1" applyBorder="1" applyAlignment="1">
      <alignment horizontal="left" vertical="center" wrapText="1"/>
    </xf>
    <xf numFmtId="164" fontId="6" fillId="0" borderId="7" xfId="0" applyNumberFormat="1" applyFont="1" applyBorder="1" applyAlignment="1">
      <alignment horizontal="left" vertical="center" wrapText="1"/>
    </xf>
    <xf numFmtId="169" fontId="6" fillId="0" borderId="7" xfId="0" applyNumberFormat="1" applyFont="1" applyBorder="1" applyAlignment="1">
      <alignment horizontal="left" vertical="center" wrapText="1"/>
    </xf>
    <xf numFmtId="170" fontId="6" fillId="0" borderId="7" xfId="0" applyNumberFormat="1" applyFont="1" applyBorder="1" applyAlignment="1">
      <alignment horizontal="left" vertical="center" wrapText="1"/>
    </xf>
    <xf numFmtId="0" fontId="4" fillId="5" borderId="3" xfId="0" applyFont="1" applyFill="1" applyBorder="1" applyAlignment="1">
      <alignment horizontal="left" vertical="center" wrapText="1"/>
    </xf>
    <xf numFmtId="0" fontId="4" fillId="5" borderId="7" xfId="0" applyFont="1" applyFill="1" applyBorder="1" applyAlignment="1">
      <alignment horizontal="left" vertical="center" wrapText="1"/>
    </xf>
    <xf numFmtId="171" fontId="6" fillId="0" borderId="7" xfId="0" applyNumberFormat="1" applyFont="1" applyBorder="1" applyAlignment="1">
      <alignment horizontal="left" vertical="center" wrapText="1"/>
    </xf>
    <xf numFmtId="167" fontId="0" fillId="0" borderId="7" xfId="0" applyNumberFormat="1" applyBorder="1" applyAlignment="1">
      <alignment horizontal="left" vertical="center" wrapText="1"/>
    </xf>
    <xf numFmtId="0" fontId="4" fillId="5" borderId="4" xfId="0" applyFont="1" applyFill="1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164" fontId="6" fillId="0" borderId="9" xfId="0" applyNumberFormat="1" applyFont="1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4" fillId="5" borderId="11" xfId="0" applyFont="1" applyFill="1" applyBorder="1" applyAlignment="1">
      <alignment horizontal="left" vertical="center" wrapText="1"/>
    </xf>
    <xf numFmtId="0" fontId="4" fillId="5" borderId="12" xfId="0" applyFont="1" applyFill="1" applyBorder="1" applyAlignment="1">
      <alignment horizontal="left" vertical="center" wrapText="1"/>
    </xf>
    <xf numFmtId="0" fontId="4" fillId="5" borderId="13" xfId="0" applyFont="1" applyFill="1" applyBorder="1" applyAlignment="1">
      <alignment horizontal="left" vertical="center" wrapText="1"/>
    </xf>
    <xf numFmtId="0" fontId="3" fillId="4" borderId="14" xfId="0" applyFont="1" applyFill="1" applyBorder="1" applyAlignment="1">
      <alignment horizontal="left" vertical="center" wrapText="1"/>
    </xf>
    <xf numFmtId="170" fontId="0" fillId="0" borderId="15" xfId="0" applyNumberFormat="1" applyBorder="1" applyAlignment="1">
      <alignment horizontal="left" vertical="center" wrapText="1"/>
    </xf>
    <xf numFmtId="170" fontId="0" fillId="0" borderId="16" xfId="0" applyNumberFormat="1" applyBorder="1" applyAlignment="1">
      <alignment horizontal="left" vertical="center" wrapText="1"/>
    </xf>
    <xf numFmtId="164" fontId="0" fillId="0" borderId="15" xfId="0" applyNumberFormat="1" applyBorder="1" applyAlignment="1">
      <alignment horizontal="left" vertical="center" wrapText="1"/>
    </xf>
    <xf numFmtId="164" fontId="0" fillId="0" borderId="16" xfId="0" applyNumberFormat="1" applyBorder="1" applyAlignment="1">
      <alignment horizontal="left" vertical="center" wrapText="1"/>
    </xf>
    <xf numFmtId="0" fontId="3" fillId="4" borderId="17" xfId="0" applyFont="1" applyFill="1" applyBorder="1" applyAlignment="1">
      <alignment horizontal="left" vertical="center" wrapText="1"/>
    </xf>
    <xf numFmtId="170" fontId="0" fillId="0" borderId="18" xfId="0" applyNumberFormat="1" applyBorder="1" applyAlignment="1">
      <alignment horizontal="left" vertical="center" wrapText="1"/>
    </xf>
    <xf numFmtId="170" fontId="0" fillId="0" borderId="19" xfId="0" applyNumberFormat="1" applyBorder="1" applyAlignment="1">
      <alignment horizontal="left" vertical="center" wrapText="1"/>
    </xf>
    <xf numFmtId="0" fontId="3" fillId="4" borderId="11" xfId="0" applyFont="1" applyFill="1" applyBorder="1" applyAlignment="1">
      <alignment horizontal="left" vertical="center" wrapText="1"/>
    </xf>
    <xf numFmtId="17" fontId="0" fillId="0" borderId="15" xfId="0" applyNumberFormat="1" applyBorder="1" applyAlignment="1">
      <alignment horizontal="left" vertical="center" wrapText="1"/>
    </xf>
    <xf numFmtId="17" fontId="0" fillId="0" borderId="16" xfId="0" applyNumberFormat="1" applyBorder="1" applyAlignment="1">
      <alignment horizontal="left" vertical="center" wrapText="1"/>
    </xf>
    <xf numFmtId="171" fontId="0" fillId="0" borderId="15" xfId="0" applyNumberFormat="1" applyBorder="1" applyAlignment="1">
      <alignment horizontal="left" vertical="center" wrapText="1"/>
    </xf>
    <xf numFmtId="171" fontId="0" fillId="0" borderId="16" xfId="0" applyNumberFormat="1" applyBorder="1" applyAlignment="1">
      <alignment horizontal="left" vertical="center" wrapText="1"/>
    </xf>
    <xf numFmtId="49" fontId="0" fillId="0" borderId="15" xfId="0" applyNumberFormat="1" applyBorder="1" applyAlignment="1">
      <alignment horizontal="left" vertical="center" wrapText="1"/>
    </xf>
    <xf numFmtId="49" fontId="0" fillId="0" borderId="16" xfId="0" applyNumberFormat="1" applyBorder="1" applyAlignment="1">
      <alignment horizontal="left" vertical="center" wrapText="1"/>
    </xf>
    <xf numFmtId="49" fontId="0" fillId="0" borderId="18" xfId="0" applyNumberFormat="1" applyBorder="1" applyAlignment="1">
      <alignment horizontal="left" vertical="center" wrapText="1"/>
    </xf>
    <xf numFmtId="49" fontId="0" fillId="0" borderId="19" xfId="0" applyNumberFormat="1" applyBorder="1" applyAlignment="1">
      <alignment horizontal="left" vertical="center" wrapText="1"/>
    </xf>
    <xf numFmtId="0" fontId="0" fillId="0" borderId="15" xfId="0" applyBorder="1" applyAlignment="1">
      <alignment horizontal="left" vertical="center" wrapText="1"/>
    </xf>
    <xf numFmtId="0" fontId="3" fillId="4" borderId="15" xfId="0" applyFont="1" applyFill="1" applyBorder="1" applyAlignment="1">
      <alignment horizontal="left" vertical="center" wrapText="1"/>
    </xf>
    <xf numFmtId="171" fontId="0" fillId="0" borderId="18" xfId="0" applyNumberFormat="1" applyBorder="1" applyAlignment="1">
      <alignment horizontal="left" vertical="center" wrapText="1"/>
    </xf>
    <xf numFmtId="0" fontId="0" fillId="0" borderId="18" xfId="0" applyBorder="1" applyAlignment="1">
      <alignment horizontal="left" vertical="center" wrapText="1"/>
    </xf>
    <xf numFmtId="0" fontId="3" fillId="4" borderId="18" xfId="0" applyFont="1" applyFill="1" applyBorder="1" applyAlignment="1">
      <alignment horizontal="left" vertical="center" wrapText="1"/>
    </xf>
    <xf numFmtId="171" fontId="0" fillId="0" borderId="19" xfId="0" applyNumberFormat="1" applyBorder="1" applyAlignment="1">
      <alignment horizontal="left" vertical="center" wrapText="1"/>
    </xf>
    <xf numFmtId="171" fontId="9" fillId="5" borderId="0" xfId="0" applyNumberFormat="1" applyFont="1" applyFill="1" applyBorder="1" applyAlignment="1">
      <alignment horizontal="left" vertical="center" wrapText="1"/>
    </xf>
    <xf numFmtId="171" fontId="8" fillId="0" borderId="0" xfId="0" applyNumberFormat="1" applyFont="1" applyBorder="1" applyAlignment="1">
      <alignment horizontal="left" vertical="center" wrapText="1"/>
    </xf>
    <xf numFmtId="164" fontId="9" fillId="5" borderId="0" xfId="0" applyNumberFormat="1" applyFont="1" applyFill="1" applyBorder="1" applyAlignment="1">
      <alignment horizontal="left" vertical="center" wrapText="1"/>
    </xf>
    <xf numFmtId="164" fontId="8" fillId="0" borderId="0" xfId="0" applyNumberFormat="1" applyFont="1" applyBorder="1" applyAlignment="1">
      <alignment horizontal="left" vertical="center" wrapText="1"/>
    </xf>
    <xf numFmtId="0" fontId="0" fillId="0" borderId="14" xfId="0" applyBorder="1" applyAlignment="1">
      <alignment horizontal="left" vertical="center" wrapText="1"/>
    </xf>
    <xf numFmtId="165" fontId="0" fillId="0" borderId="15" xfId="0" applyNumberFormat="1" applyBorder="1" applyAlignment="1">
      <alignment horizontal="left" vertical="center" wrapText="1"/>
    </xf>
    <xf numFmtId="0" fontId="0" fillId="0" borderId="16" xfId="0" applyBorder="1" applyAlignment="1">
      <alignment horizontal="left" vertical="center" wrapText="1"/>
    </xf>
    <xf numFmtId="0" fontId="0" fillId="0" borderId="17" xfId="0" applyBorder="1" applyAlignment="1">
      <alignment horizontal="left" vertical="center" wrapText="1"/>
    </xf>
    <xf numFmtId="165" fontId="0" fillId="0" borderId="18" xfId="0" applyNumberFormat="1" applyBorder="1" applyAlignment="1">
      <alignment horizontal="left" vertical="center" wrapText="1"/>
    </xf>
    <xf numFmtId="0" fontId="0" fillId="0" borderId="19" xfId="0" applyBorder="1" applyAlignment="1">
      <alignment horizontal="left" vertical="center" wrapText="1"/>
    </xf>
    <xf numFmtId="0" fontId="7" fillId="0" borderId="16" xfId="0" applyFont="1" applyBorder="1" applyAlignment="1">
      <alignment horizontal="left" vertical="center" wrapText="1"/>
    </xf>
    <xf numFmtId="0" fontId="7" fillId="0" borderId="19" xfId="0" applyFont="1" applyBorder="1" applyAlignment="1">
      <alignment horizontal="left" vertical="center" wrapText="1"/>
    </xf>
    <xf numFmtId="164" fontId="0" fillId="0" borderId="0" xfId="0" applyNumberFormat="1" applyBorder="1" applyAlignment="1">
      <alignment horizontal="left" vertical="center" wrapText="1"/>
    </xf>
    <xf numFmtId="0" fontId="0" fillId="0" borderId="26" xfId="0" applyBorder="1" applyAlignment="1">
      <alignment horizontal="left" vertical="top" wrapText="1"/>
    </xf>
    <xf numFmtId="0" fontId="0" fillId="0" borderId="0" xfId="0" applyBorder="1" applyAlignment="1">
      <alignment horizontal="left" vertical="top" wrapText="1"/>
    </xf>
    <xf numFmtId="0" fontId="10" fillId="4" borderId="0" xfId="0" applyFont="1" applyFill="1" applyBorder="1" applyAlignment="1">
      <alignment horizontal="left" vertical="center" wrapText="1"/>
    </xf>
    <xf numFmtId="171" fontId="0" fillId="0" borderId="0" xfId="0" applyNumberFormat="1" applyBorder="1" applyAlignment="1">
      <alignment horizontal="left" vertical="center" wrapText="1"/>
    </xf>
    <xf numFmtId="164" fontId="10" fillId="4" borderId="0" xfId="0" applyNumberFormat="1" applyFont="1" applyFill="1" applyBorder="1" applyAlignment="1">
      <alignment horizontal="left" vertical="center" wrapText="1"/>
    </xf>
    <xf numFmtId="0" fontId="12" fillId="0" borderId="14" xfId="0" applyFont="1" applyBorder="1" applyAlignment="1">
      <alignment horizontal="left" vertical="center" wrapText="1"/>
    </xf>
    <xf numFmtId="0" fontId="12" fillId="0" borderId="15" xfId="0" applyFont="1" applyBorder="1" applyAlignment="1">
      <alignment horizontal="left" vertical="center" wrapText="1"/>
    </xf>
    <xf numFmtId="0" fontId="12" fillId="0" borderId="16" xfId="0" applyFont="1" applyBorder="1" applyAlignment="1">
      <alignment horizontal="left" vertical="center" wrapText="1"/>
    </xf>
    <xf numFmtId="0" fontId="14" fillId="11" borderId="14" xfId="0" applyFont="1" applyFill="1" applyBorder="1" applyAlignment="1">
      <alignment horizontal="left" vertical="center" wrapText="1"/>
    </xf>
    <xf numFmtId="0" fontId="14" fillId="11" borderId="15" xfId="0" applyFont="1" applyFill="1" applyBorder="1" applyAlignment="1">
      <alignment horizontal="left" vertical="center" wrapText="1"/>
    </xf>
    <xf numFmtId="0" fontId="14" fillId="11" borderId="16" xfId="0" applyFont="1" applyFill="1" applyBorder="1" applyAlignment="1">
      <alignment horizontal="left" vertical="center" wrapText="1"/>
    </xf>
    <xf numFmtId="171" fontId="12" fillId="0" borderId="15" xfId="0" applyNumberFormat="1" applyFont="1" applyBorder="1" applyAlignment="1">
      <alignment horizontal="left" vertical="center" wrapText="1"/>
    </xf>
    <xf numFmtId="0" fontId="15" fillId="7" borderId="14" xfId="0" applyFont="1" applyFill="1" applyBorder="1" applyAlignment="1">
      <alignment horizontal="left" vertical="center" wrapText="1"/>
    </xf>
    <xf numFmtId="0" fontId="15" fillId="7" borderId="15" xfId="0" applyFont="1" applyFill="1" applyBorder="1" applyAlignment="1">
      <alignment horizontal="left" vertical="center" wrapText="1"/>
    </xf>
    <xf numFmtId="171" fontId="15" fillId="7" borderId="15" xfId="0" applyNumberFormat="1" applyFont="1" applyFill="1" applyBorder="1" applyAlignment="1">
      <alignment horizontal="left" vertical="center" wrapText="1"/>
    </xf>
    <xf numFmtId="0" fontId="15" fillId="7" borderId="16" xfId="0" applyFont="1" applyFill="1" applyBorder="1" applyAlignment="1">
      <alignment horizontal="left" vertical="center" wrapText="1"/>
    </xf>
    <xf numFmtId="166" fontId="12" fillId="0" borderId="15" xfId="0" applyNumberFormat="1" applyFont="1" applyBorder="1" applyAlignment="1">
      <alignment horizontal="left" vertical="center" wrapText="1"/>
    </xf>
    <xf numFmtId="0" fontId="15" fillId="8" borderId="14" xfId="0" applyFont="1" applyFill="1" applyBorder="1" applyAlignment="1">
      <alignment horizontal="left" vertical="center" wrapText="1"/>
    </xf>
    <xf numFmtId="0" fontId="15" fillId="8" borderId="15" xfId="0" applyFont="1" applyFill="1" applyBorder="1" applyAlignment="1">
      <alignment horizontal="left" vertical="center" wrapText="1"/>
    </xf>
    <xf numFmtId="166" fontId="15" fillId="8" borderId="15" xfId="0" applyNumberFormat="1" applyFont="1" applyFill="1" applyBorder="1" applyAlignment="1">
      <alignment horizontal="left" vertical="center" wrapText="1"/>
    </xf>
    <xf numFmtId="0" fontId="15" fillId="8" borderId="16" xfId="0" applyFont="1" applyFill="1" applyBorder="1" applyAlignment="1">
      <alignment horizontal="left" vertical="center" wrapText="1"/>
    </xf>
    <xf numFmtId="0" fontId="18" fillId="4" borderId="14" xfId="0" applyFont="1" applyFill="1" applyBorder="1" applyAlignment="1">
      <alignment horizontal="left" vertical="center" wrapText="1"/>
    </xf>
    <xf numFmtId="0" fontId="18" fillId="4" borderId="15" xfId="0" applyFont="1" applyFill="1" applyBorder="1" applyAlignment="1">
      <alignment horizontal="left" vertical="center" wrapText="1"/>
    </xf>
    <xf numFmtId="166" fontId="18" fillId="4" borderId="15" xfId="0" applyNumberFormat="1" applyFont="1" applyFill="1" applyBorder="1" applyAlignment="1">
      <alignment horizontal="left" vertical="center" wrapText="1"/>
    </xf>
    <xf numFmtId="0" fontId="18" fillId="4" borderId="16" xfId="0" applyFont="1" applyFill="1" applyBorder="1" applyAlignment="1">
      <alignment horizontal="left" vertical="center" wrapText="1"/>
    </xf>
    <xf numFmtId="164" fontId="12" fillId="0" borderId="15" xfId="0" applyNumberFormat="1" applyFont="1" applyBorder="1" applyAlignment="1">
      <alignment horizontal="left" vertical="center" wrapText="1"/>
    </xf>
    <xf numFmtId="0" fontId="12" fillId="0" borderId="20" xfId="0" applyFont="1" applyBorder="1" applyAlignment="1">
      <alignment horizontal="left" wrapText="1"/>
    </xf>
    <xf numFmtId="0" fontId="12" fillId="0" borderId="21" xfId="0" applyFont="1" applyBorder="1" applyAlignment="1">
      <alignment horizontal="left" wrapText="1"/>
    </xf>
    <xf numFmtId="0" fontId="12" fillId="0" borderId="22" xfId="0" applyFont="1" applyBorder="1" applyAlignment="1">
      <alignment horizontal="left" wrapText="1"/>
    </xf>
    <xf numFmtId="0" fontId="12" fillId="0" borderId="23" xfId="0" applyFont="1" applyBorder="1" applyAlignment="1">
      <alignment horizontal="left" wrapText="1"/>
    </xf>
    <xf numFmtId="0" fontId="12" fillId="0" borderId="24" xfId="0" applyFont="1" applyBorder="1" applyAlignment="1">
      <alignment horizontal="left" wrapText="1"/>
    </xf>
    <xf numFmtId="0" fontId="12" fillId="0" borderId="25" xfId="0" applyFont="1" applyAlignment="1">
      <alignment horizontal="left" wrapText="1"/>
    </xf>
    <xf numFmtId="166" fontId="15" fillId="7" borderId="15" xfId="0" applyNumberFormat="1" applyFont="1" applyFill="1" applyBorder="1" applyAlignment="1">
      <alignment horizontal="left" vertical="center" wrapText="1"/>
    </xf>
    <xf numFmtId="0" fontId="15" fillId="9" borderId="14" xfId="0" applyFont="1" applyFill="1" applyBorder="1" applyAlignment="1">
      <alignment horizontal="left" vertical="center" wrapText="1"/>
    </xf>
    <xf numFmtId="0" fontId="15" fillId="9" borderId="15" xfId="0" applyFont="1" applyFill="1" applyBorder="1" applyAlignment="1">
      <alignment horizontal="left" vertical="center" wrapText="1"/>
    </xf>
    <xf numFmtId="166" fontId="15" fillId="9" borderId="15" xfId="0" applyNumberFormat="1" applyFont="1" applyFill="1" applyBorder="1" applyAlignment="1">
      <alignment horizontal="left" vertical="center" wrapText="1"/>
    </xf>
    <xf numFmtId="0" fontId="15" fillId="9" borderId="16" xfId="0" applyFont="1" applyFill="1" applyBorder="1" applyAlignment="1">
      <alignment horizontal="left" vertical="center" wrapText="1"/>
    </xf>
    <xf numFmtId="0" fontId="15" fillId="7" borderId="20" xfId="0" applyFont="1" applyFill="1" applyBorder="1" applyAlignment="1">
      <alignment horizontal="left" wrapText="1"/>
    </xf>
    <xf numFmtId="0" fontId="15" fillId="7" borderId="21" xfId="0" applyFont="1" applyFill="1" applyBorder="1" applyAlignment="1">
      <alignment horizontal="left" wrapText="1"/>
    </xf>
    <xf numFmtId="0" fontId="15" fillId="7" borderId="22" xfId="0" applyFont="1" applyFill="1" applyBorder="1" applyAlignment="1">
      <alignment horizontal="left" wrapText="1"/>
    </xf>
    <xf numFmtId="0" fontId="4" fillId="11" borderId="0" xfId="0" applyFont="1" applyFill="1" applyBorder="1" applyAlignment="1">
      <alignment horizontal="left" vertical="center" wrapText="1"/>
    </xf>
    <xf numFmtId="165" fontId="0" fillId="0" borderId="0" xfId="0" applyNumberFormat="1" applyBorder="1" applyAlignment="1">
      <alignment horizontal="left" vertical="center" wrapText="1"/>
    </xf>
    <xf numFmtId="49" fontId="10" fillId="4" borderId="0" xfId="0" applyNumberFormat="1" applyFont="1" applyFill="1" applyBorder="1" applyAlignment="1">
      <alignment horizontal="left" vertical="center" wrapText="1"/>
    </xf>
    <xf numFmtId="49" fontId="0" fillId="0" borderId="0" xfId="0" applyNumberFormat="1" applyBorder="1" applyAlignment="1">
      <alignment horizontal="left" vertical="center" wrapText="1"/>
    </xf>
    <xf numFmtId="166" fontId="0" fillId="0" borderId="0" xfId="0" applyNumberFormat="1" applyBorder="1" applyAlignment="1">
      <alignment horizontal="left" vertical="center" wrapText="1"/>
    </xf>
    <xf numFmtId="166" fontId="10" fillId="4" borderId="0" xfId="0" applyNumberFormat="1" applyFont="1" applyFill="1" applyBorder="1" applyAlignment="1">
      <alignment horizontal="left" vertical="center" wrapText="1"/>
    </xf>
    <xf numFmtId="0" fontId="21" fillId="13" borderId="26" xfId="0" applyFont="1" applyFill="1" applyBorder="1" applyAlignment="1">
      <alignment horizontal="left" vertical="top" wrapText="1"/>
    </xf>
    <xf numFmtId="0" fontId="22" fillId="12" borderId="26" xfId="0" applyFont="1" applyFill="1" applyBorder="1" applyAlignment="1">
      <alignment horizontal="left" vertical="top" wrapText="1"/>
    </xf>
    <xf numFmtId="0" fontId="22" fillId="0" borderId="26" xfId="0" applyFont="1" applyBorder="1" applyAlignment="1">
      <alignment horizontal="left" vertical="top" wrapText="1"/>
    </xf>
    <xf numFmtId="0" fontId="21" fillId="13" borderId="26" xfId="0" applyFont="1" applyFill="1" applyBorder="1" applyAlignment="1">
      <alignment horizontal="left" vertical="center" wrapText="1"/>
    </xf>
    <xf numFmtId="0" fontId="25" fillId="14" borderId="28" xfId="0" applyFont="1" applyFill="1" applyBorder="1" applyAlignment="1">
      <alignment horizontal="left" wrapText="1"/>
    </xf>
    <xf numFmtId="0" fontId="24" fillId="19" borderId="28" xfId="0" applyFont="1" applyFill="1" applyBorder="1" applyAlignment="1">
      <alignment horizontal="left" vertical="top" wrapText="1"/>
    </xf>
    <xf numFmtId="0" fontId="24" fillId="20" borderId="28" xfId="0" applyFont="1" applyFill="1" applyBorder="1" applyAlignment="1">
      <alignment horizontal="left" vertical="top" wrapText="1"/>
    </xf>
    <xf numFmtId="0" fontId="25" fillId="16" borderId="0" xfId="0" applyFont="1" applyFill="1" applyBorder="1" applyAlignment="1">
      <alignment horizontal="left"/>
    </xf>
    <xf numFmtId="0" fontId="25" fillId="14" borderId="27" xfId="0" applyFont="1" applyFill="1" applyBorder="1" applyAlignment="1">
      <alignment horizontal="left" vertical="center" wrapText="1"/>
    </xf>
    <xf numFmtId="0" fontId="25" fillId="16" borderId="27" xfId="0" applyFont="1" applyFill="1" applyBorder="1" applyAlignment="1">
      <alignment horizontal="left" vertical="center" wrapText="1"/>
    </xf>
    <xf numFmtId="0" fontId="2" fillId="3" borderId="25" xfId="0" applyFont="1" applyFill="1" applyAlignment="1">
      <alignment horizontal="left" vertical="center" wrapText="1"/>
    </xf>
    <xf numFmtId="0" fontId="0" fillId="0" borderId="0" xfId="0" applyBorder="1" applyAlignment="1">
      <alignment horizontal="left"/>
    </xf>
    <xf numFmtId="0" fontId="1" fillId="2" borderId="25" xfId="0" applyFont="1" applyFill="1" applyAlignment="1">
      <alignment horizontal="left" vertical="center" wrapText="1"/>
    </xf>
    <xf numFmtId="0" fontId="0" fillId="0" borderId="25" xfId="0" applyAlignment="1">
      <alignment horizontal="left" vertical="center" wrapText="1"/>
    </xf>
    <xf numFmtId="0" fontId="1" fillId="6" borderId="25" xfId="0" applyFont="1" applyFill="1" applyAlignment="1">
      <alignment horizontal="left" vertical="center" wrapText="1"/>
    </xf>
    <xf numFmtId="0" fontId="10" fillId="9" borderId="25" xfId="0" applyFont="1" applyFill="1" applyAlignment="1">
      <alignment horizontal="left" vertical="center" wrapText="1"/>
    </xf>
    <xf numFmtId="0" fontId="14" fillId="5" borderId="25" xfId="0" applyFont="1" applyFill="1" applyAlignment="1">
      <alignment horizontal="left" vertical="center" wrapText="1"/>
    </xf>
    <xf numFmtId="0" fontId="13" fillId="0" borderId="25" xfId="0" applyFont="1" applyAlignment="1">
      <alignment horizontal="left" vertical="center" wrapText="1"/>
    </xf>
    <xf numFmtId="0" fontId="11" fillId="6" borderId="25" xfId="0" applyFont="1" applyFill="1" applyAlignment="1">
      <alignment horizontal="left" vertical="center" wrapText="1"/>
    </xf>
    <xf numFmtId="0" fontId="14" fillId="4" borderId="25" xfId="0" applyFont="1" applyFill="1" applyAlignment="1">
      <alignment horizontal="left" vertical="center" wrapText="1"/>
    </xf>
    <xf numFmtId="0" fontId="16" fillId="10" borderId="25" xfId="0" applyFont="1" applyFill="1" applyAlignment="1">
      <alignment horizontal="left" vertical="center" wrapText="1"/>
    </xf>
    <xf numFmtId="0" fontId="4" fillId="6" borderId="25" xfId="0" applyFont="1" applyFill="1" applyAlignment="1">
      <alignment horizontal="left" vertical="center" wrapText="1"/>
    </xf>
    <xf numFmtId="0" fontId="20" fillId="0" borderId="25" xfId="0" applyFont="1" applyAlignment="1">
      <alignment horizontal="left" vertical="center" wrapText="1"/>
    </xf>
    <xf numFmtId="0" fontId="19" fillId="0" borderId="25" xfId="0" applyFont="1" applyAlignment="1">
      <alignment horizontal="left" vertical="center" wrapText="1"/>
    </xf>
    <xf numFmtId="0" fontId="25" fillId="18" borderId="25" xfId="0" applyFont="1" applyFill="1" applyAlignment="1">
      <alignment horizontal="left"/>
    </xf>
    <xf numFmtId="0" fontId="23" fillId="14" borderId="25" xfId="0" applyFont="1" applyFill="1" applyAlignment="1">
      <alignment horizontal="left" vertical="center"/>
    </xf>
    <xf numFmtId="0" fontId="24" fillId="15" borderId="25" xfId="0" applyFont="1" applyFill="1" applyAlignment="1">
      <alignment horizontal="left" vertical="center" wrapText="1"/>
    </xf>
    <xf numFmtId="0" fontId="26" fillId="18" borderId="25" xfId="0" applyFont="1" applyFill="1" applyAlignment="1">
      <alignment horizontal="left"/>
    </xf>
    <xf numFmtId="0" fontId="0" fillId="17" borderId="25" xfId="0" applyFill="1" applyAlignment="1">
      <alignment horizontal="left" wrapText="1"/>
    </xf>
  </cellXfs>
  <cellStyles count="1">
    <cellStyle name="Normal" xfId="0" builtinId="0"/>
  </cellStyles>
  <dxfs count="62">
    <dxf>
      <alignment horizontal="left" textRotation="0" indent="0" justifyLastLine="0" shrinkToFit="0" readingOrder="0"/>
    </dxf>
    <dxf>
      <alignment horizontal="left" textRotation="0" indent="0" justifyLastLine="0" shrinkToFit="0" readingOrder="0"/>
    </dxf>
    <dxf>
      <alignment horizontal="left" textRotation="0" indent="0" justifyLastLine="0" shrinkToFit="0" readingOrder="0"/>
    </dxf>
    <dxf>
      <alignment horizontal="left" textRotation="0" indent="0" justifyLastLine="0" shrinkToFit="0" readingOrder="0"/>
    </dxf>
    <dxf>
      <alignment horizontal="left" textRotation="0" indent="0" justifyLastLine="0" shrinkToFit="0" readingOrder="0"/>
    </dxf>
    <dxf>
      <alignment horizontal="left" textRotation="0" indent="0" justifyLastLine="0" shrinkToFit="0" readingOrder="0"/>
    </dxf>
    <dxf>
      <alignment horizontal="left" textRotation="0" indent="0" justifyLastLine="0" shrinkToFit="0" readingOrder="0"/>
    </dxf>
    <dxf>
      <alignment horizontal="left" textRotation="0" indent="0" justifyLastLine="0" shrinkToFit="0" readingOrder="0"/>
    </dxf>
    <dxf>
      <alignment horizontal="left" textRotation="0" indent="0" justifyLastLine="0" shrinkToFit="0" readingOrder="0"/>
    </dxf>
    <dxf>
      <alignment horizontal="left" textRotation="0" indent="0" justifyLastLine="0" shrinkToFit="0" readingOrder="0"/>
    </dxf>
    <dxf>
      <alignment horizontal="left" textRotation="0" indent="0" justifyLastLine="0" shrinkToFit="0" readingOrder="0"/>
    </dxf>
    <dxf>
      <alignment horizontal="left" textRotation="0" indent="0" justifyLastLine="0" shrinkToFit="0" readingOrder="0"/>
    </dxf>
    <dxf>
      <alignment horizontal="left" textRotation="0" indent="0" justifyLastLine="0" shrinkToFit="0" readingOrder="0"/>
    </dxf>
    <dxf>
      <alignment horizontal="left" textRotation="0" indent="0" justifyLastLine="0" shrinkToFit="0" readingOrder="0"/>
    </dxf>
    <dxf>
      <alignment horizontal="left" textRotation="0" indent="0" justifyLastLine="0" shrinkToFit="0" readingOrder="0"/>
    </dxf>
    <dxf>
      <alignment horizontal="left" textRotation="0" indent="0" justifyLastLine="0" shrinkToFit="0" readingOrder="0"/>
    </dxf>
    <dxf>
      <alignment horizontal="left" textRotation="0" indent="0" justifyLastLine="0" shrinkToFit="0" readingOrder="0"/>
    </dxf>
    <dxf>
      <alignment horizontal="left" textRotation="0" indent="0" justifyLastLine="0" shrinkToFit="0" readingOrder="0"/>
    </dxf>
    <dxf>
      <alignment horizontal="left" textRotation="0" indent="0" justifyLastLine="0" shrinkToFit="0" readingOrder="0"/>
    </dxf>
    <dxf>
      <alignment horizontal="left" textRotation="0" indent="0" justifyLastLine="0" shrinkToFit="0" readingOrder="0"/>
    </dxf>
    <dxf>
      <alignment horizontal="left" textRotation="0" indent="0" justifyLastLine="0" shrinkToFit="0" readingOrder="0"/>
    </dxf>
    <dxf>
      <alignment horizontal="left" textRotation="0" indent="0" justifyLastLine="0" shrinkToFit="0" readingOrder="0"/>
    </dxf>
    <dxf>
      <alignment horizontal="left" textRotation="0" indent="0" justifyLastLine="0" shrinkToFit="0" readingOrder="0"/>
    </dxf>
    <dxf>
      <alignment horizontal="left" textRotation="0" indent="0" justifyLastLine="0" shrinkToFit="0" readingOrder="0"/>
    </dxf>
    <dxf>
      <alignment horizontal="left" textRotation="0" indent="0" justifyLastLine="0" shrinkToFit="0" readingOrder="0"/>
    </dxf>
    <dxf>
      <alignment horizontal="left" textRotation="0" indent="0" justifyLastLine="0" shrinkToFit="0" readingOrder="0"/>
    </dxf>
    <dxf>
      <alignment horizontal="left" textRotation="0" indent="0" justifyLastLine="0" shrinkToFit="0" readingOrder="0"/>
    </dxf>
    <dxf>
      <alignment horizontal="left" textRotation="0" indent="0" justifyLastLine="0" shrinkToFit="0" readingOrder="0"/>
    </dxf>
    <dxf>
      <alignment horizontal="left" textRotation="0" indent="0" justifyLastLine="0" shrinkToFit="0" readingOrder="0"/>
    </dxf>
    <dxf>
      <alignment horizontal="left" textRotation="0" indent="0" justifyLastLine="0" shrinkToFit="0" readingOrder="0"/>
    </dxf>
    <dxf>
      <alignment horizontal="left" textRotation="0" indent="0" justifyLastLine="0" shrinkToFit="0" readingOrder="0"/>
    </dxf>
    <dxf>
      <alignment horizontal="left" textRotation="0" indent="0" justifyLastLine="0" shrinkToFit="0" readingOrder="0"/>
    </dxf>
    <dxf>
      <alignment horizontal="left" textRotation="0" indent="0" justifyLastLine="0" shrinkToFit="0" readingOrder="0"/>
    </dxf>
    <dxf>
      <alignment horizontal="left" textRotation="0" indent="0" justifyLastLine="0" shrinkToFit="0" readingOrder="0"/>
    </dxf>
    <dxf>
      <alignment horizontal="left" textRotation="0" indent="0" justifyLastLine="0" shrinkToFit="0" readingOrder="0"/>
    </dxf>
    <dxf>
      <alignment horizontal="left" textRotation="0" indent="0" justifyLastLine="0" shrinkToFit="0" readingOrder="0"/>
    </dxf>
    <dxf>
      <alignment horizontal="left" textRotation="0" indent="0" justifyLastLine="0" shrinkToFit="0" readingOrder="0"/>
    </dxf>
    <dxf>
      <alignment horizontal="left" textRotation="0" indent="0" justifyLastLine="0" shrinkToFit="0" readingOrder="0"/>
    </dxf>
    <dxf>
      <alignment horizontal="left" textRotation="0" indent="0" justifyLastLine="0" shrinkToFit="0" readingOrder="0"/>
    </dxf>
    <dxf>
      <alignment horizontal="left" textRotation="0" indent="0" justifyLastLine="0" shrinkToFit="0" readingOrder="0"/>
    </dxf>
    <dxf>
      <alignment horizontal="left" textRotation="0" indent="0" justifyLastLine="0" shrinkToFit="0" readingOrder="0"/>
    </dxf>
    <dxf>
      <alignment horizontal="left" textRotation="0" indent="0" justifyLastLine="0" shrinkToFit="0" readingOrder="0"/>
    </dxf>
    <dxf>
      <alignment horizontal="left" textRotation="0" indent="0" justifyLastLine="0" shrinkToFit="0" readingOrder="0"/>
    </dxf>
    <dxf>
      <alignment horizontal="left" textRotation="0" indent="0" justifyLastLine="0" shrinkToFit="0" readingOrder="0"/>
    </dxf>
    <dxf>
      <alignment horizontal="left" textRotation="0" indent="0" justifyLastLine="0" shrinkToFit="0" readingOrder="0"/>
    </dxf>
    <dxf>
      <alignment horizontal="left" textRotation="0" indent="0" justifyLastLine="0" shrinkToFit="0" readingOrder="0"/>
    </dxf>
    <dxf>
      <alignment horizontal="left" textRotation="0" indent="0" justifyLastLine="0" shrinkToFit="0" readingOrder="0"/>
    </dxf>
    <dxf>
      <alignment horizontal="left" textRotation="0" indent="0" justifyLastLine="0" shrinkToFit="0" readingOrder="0"/>
    </dxf>
    <dxf>
      <alignment horizontal="left" textRotation="0" indent="0" justifyLastLine="0" shrinkToFit="0" readingOrder="0"/>
    </dxf>
    <dxf>
      <alignment horizontal="left" textRotation="0" indent="0" justifyLastLine="0" shrinkToFit="0" readingOrder="0"/>
    </dxf>
    <dxf>
      <alignment horizontal="left" textRotation="0" indent="0" justifyLastLine="0" shrinkToFit="0" readingOrder="0"/>
    </dxf>
    <dxf>
      <alignment horizontal="left" textRotation="0" indent="0" justifyLastLine="0" shrinkToFit="0" readingOrder="0"/>
    </dxf>
    <dxf>
      <alignment horizontal="left" textRotation="0" indent="0" justifyLastLine="0" shrinkToFit="0" readingOrder="0"/>
    </dxf>
    <dxf>
      <alignment horizontal="left" textRotation="0" indent="0" justifyLastLine="0" shrinkToFit="0" readingOrder="0"/>
    </dxf>
    <dxf>
      <alignment horizontal="left" textRotation="0" indent="0" justifyLastLine="0" shrinkToFit="0" readingOrder="0"/>
    </dxf>
    <dxf>
      <alignment horizontal="left" textRotation="0" indent="0" justifyLastLine="0" shrinkToFit="0" readingOrder="0"/>
    </dxf>
    <dxf>
      <alignment horizontal="left" textRotation="0" indent="0" justifyLastLine="0" shrinkToFit="0" readingOrder="0"/>
    </dxf>
    <dxf>
      <alignment horizontal="left" textRotation="0" indent="0" justifyLastLine="0" shrinkToFit="0" readingOrder="0"/>
    </dxf>
    <dxf>
      <alignment horizontal="left" textRotation="0" indent="0" justifyLastLine="0" shrinkToFit="0" readingOrder="0"/>
    </dxf>
    <dxf>
      <alignment horizontal="left" textRotation="0" indent="0" justifyLastLine="0" shrinkToFit="0" readingOrder="0"/>
    </dxf>
    <dxf>
      <alignment horizontal="left" textRotation="0" indent="0" justifyLastLine="0" shrinkToFit="0" readingOrder="0"/>
    </dxf>
    <dxf>
      <alignment horizontal="left" textRotation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theme" Target="theme/theme1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title>
      <c:tx>
        <c:rich>
          <a:bodyPr/>
          <a:lstStyle/>
          <a:p>
            <a:r>
              <a:rPr lang="en-US"/>
              <a:t>Revenues and net income — billion Iraqi dinars</a:t>
            </a:r>
          </a:p>
        </c:rich>
      </c:tx>
      <c:overlay val="0"/>
    </c:title>
    <c:autoTitleDeleted val="0"/>
    <c:plotArea>
      <c:layout/>
      <c:lineChart>
        <c:grouping val="standard"/>
        <c:varyColors val="1"/>
        <c:ser>
          <c:idx val="0"/>
          <c:order val="0"/>
          <c:tx>
            <c:v>Gross revenue</c:v>
          </c:tx>
          <c:spPr>
            <a:ln>
              <a:prstDash val="solid"/>
            </a:ln>
          </c:spPr>
          <c:marker>
            <c:symbol val="none"/>
          </c:marker>
          <c:cat>
            <c:strRef>
              <c:f>Dashboard!$A$13:$A$17</c:f>
              <c:strCache>
                <c:ptCount val="5"/>
                <c:pt idx="0">
                  <c:v>FY1</c:v>
                </c:pt>
                <c:pt idx="1">
                  <c:v>FY2</c:v>
                </c:pt>
                <c:pt idx="2">
                  <c:v>FY3</c:v>
                </c:pt>
                <c:pt idx="3">
                  <c:v>FY4</c:v>
                </c:pt>
                <c:pt idx="4">
                  <c:v>FY5</c:v>
                </c:pt>
              </c:strCache>
            </c:strRef>
          </c:cat>
          <c:val>
            <c:numRef>
              <c:f>Dashboard!$B$13:$B$17</c:f>
              <c:numCache>
                <c:formatCode>#,##0.0;[Red]\(#,##0.0\);\-</c:formatCode>
                <c:ptCount val="5"/>
                <c:pt idx="0">
                  <c:v>3.80155625</c:v>
                </c:pt>
                <c:pt idx="1">
                  <c:v>10.396238222222221</c:v>
                </c:pt>
                <c:pt idx="2">
                  <c:v>19.771958009259258</c:v>
                </c:pt>
                <c:pt idx="3">
                  <c:v>31.357329444444446</c:v>
                </c:pt>
                <c:pt idx="4">
                  <c:v>45.457817222222218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C82-CA4B-B2C2-DB1E24B8A087}"/>
            </c:ext>
          </c:extLst>
        </c:ser>
        <c:ser>
          <c:idx val="1"/>
          <c:order val="1"/>
          <c:tx>
            <c:v>Net income</c:v>
          </c:tx>
          <c:spPr>
            <a:ln>
              <a:prstDash val="solid"/>
            </a:ln>
          </c:spPr>
          <c:marker>
            <c:symbol val="none"/>
          </c:marker>
          <c:cat>
            <c:strRef>
              <c:f>Dashboard!$A$13:$A$17</c:f>
              <c:strCache>
                <c:ptCount val="5"/>
                <c:pt idx="0">
                  <c:v>FY1</c:v>
                </c:pt>
                <c:pt idx="1">
                  <c:v>FY2</c:v>
                </c:pt>
                <c:pt idx="2">
                  <c:v>FY3</c:v>
                </c:pt>
                <c:pt idx="3">
                  <c:v>FY4</c:v>
                </c:pt>
                <c:pt idx="4">
                  <c:v>FY5</c:v>
                </c:pt>
              </c:strCache>
            </c:strRef>
          </c:cat>
          <c:val>
            <c:numRef>
              <c:f>Dashboard!$C$13:$C$17</c:f>
              <c:numCache>
                <c:formatCode>#,##0.0;[Red]\(#,##0.0\);\-</c:formatCode>
                <c:ptCount val="5"/>
                <c:pt idx="0">
                  <c:v>-10.940743749999999</c:v>
                </c:pt>
                <c:pt idx="1">
                  <c:v>-11.410718764444445</c:v>
                </c:pt>
                <c:pt idx="2">
                  <c:v>-7.9287000040740834</c:v>
                </c:pt>
                <c:pt idx="3">
                  <c:v>-2.9120755555555577</c:v>
                </c:pt>
                <c:pt idx="4">
                  <c:v>3.2217693804888921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C82-CA4B-B2C2-DB1E24B8A08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majorGridlines>
          <c:spPr>
            <a:ln w="9525">
              <a:solidFill>
                <a:srgbClr val="CCCCCC"/>
              </a:solidFill>
              <a:prstDash val="dash"/>
            </a:ln>
          </c:spPr>
        </c:majorGridlines>
        <c:numFmt formatCode=";;" sourceLinked="0"/>
        <c:majorTickMark val="none"/>
        <c:minorTickMark val="none"/>
        <c:tickLblPos val="nextTo"/>
        <c:crossAx val="48672768"/>
        <c:crosses val="autoZero"/>
        <c:auto val="1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w="9525">
              <a:solidFill>
                <a:srgbClr val="CCCCCC"/>
              </a:solidFill>
              <a:prstDash val="dash"/>
            </a:ln>
          </c:spPr>
        </c:majorGridlines>
        <c:numFmt formatCode=";;" sourceLinked="0"/>
        <c:majorTickMark val="none"/>
        <c:minorTickMark val="none"/>
        <c:tickLblPos val="nextTo"/>
        <c:crossAx val="48650112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1"/>
  </c:chart>
  <c:spPr>
    <a:ln w="9525">
      <a:solidFill>
        <a:srgbClr val="D9D9D9"/>
      </a:solidFill>
      <a:prstDash val="solid"/>
    </a:ln>
  </c:sp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title>
      <c:tx>
        <c:rich>
          <a:bodyPr/>
          <a:lstStyle/>
          <a:p>
            <a:r>
              <a:rPr lang="en-US"/>
              <a:t>Deposits vs. Revenue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Gross revenue</c:v>
          </c:tx>
          <c:spPr>
            <a:ln>
              <a:prstDash val="solid"/>
            </a:ln>
          </c:spPr>
          <c:invertIfNegative val="1"/>
          <c:cat>
            <c:strRef>
              <c:f>Dashboard!$A$13:$A$17</c:f>
              <c:strCache>
                <c:ptCount val="5"/>
                <c:pt idx="0">
                  <c:v>FY1</c:v>
                </c:pt>
                <c:pt idx="1">
                  <c:v>FY2</c:v>
                </c:pt>
                <c:pt idx="2">
                  <c:v>FY3</c:v>
                </c:pt>
                <c:pt idx="3">
                  <c:v>FY4</c:v>
                </c:pt>
                <c:pt idx="4">
                  <c:v>FY5</c:v>
                </c:pt>
              </c:strCache>
            </c:strRef>
          </c:cat>
          <c:val>
            <c:numRef>
              <c:f>Dashboard!$B$13:$B$17</c:f>
              <c:numCache>
                <c:formatCode>#,##0.0;[Red]\(#,##0.0\);\-</c:formatCode>
                <c:ptCount val="5"/>
                <c:pt idx="0">
                  <c:v>3.80155625</c:v>
                </c:pt>
                <c:pt idx="1">
                  <c:v>10.396238222222221</c:v>
                </c:pt>
                <c:pt idx="2">
                  <c:v>19.771958009259258</c:v>
                </c:pt>
                <c:pt idx="3">
                  <c:v>31.357329444444446</c:v>
                </c:pt>
                <c:pt idx="4">
                  <c:v>45.457817222222218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6FC-6644-8AF9-4B9FE78C0507}"/>
            </c:ext>
          </c:extLst>
        </c:ser>
        <c:ser>
          <c:idx val="1"/>
          <c:order val="1"/>
          <c:tx>
            <c:v>Net income</c:v>
          </c:tx>
          <c:spPr>
            <a:ln>
              <a:prstDash val="solid"/>
            </a:ln>
          </c:spPr>
          <c:invertIfNegative val="1"/>
          <c:cat>
            <c:strRef>
              <c:f>Dashboard!$A$13:$A$17</c:f>
              <c:strCache>
                <c:ptCount val="5"/>
                <c:pt idx="0">
                  <c:v>FY1</c:v>
                </c:pt>
                <c:pt idx="1">
                  <c:v>FY2</c:v>
                </c:pt>
                <c:pt idx="2">
                  <c:v>FY3</c:v>
                </c:pt>
                <c:pt idx="3">
                  <c:v>FY4</c:v>
                </c:pt>
                <c:pt idx="4">
                  <c:v>FY5</c:v>
                </c:pt>
              </c:strCache>
            </c:strRef>
          </c:cat>
          <c:val>
            <c:numRef>
              <c:f>Dashboard!$C$13:$C$17</c:f>
              <c:numCache>
                <c:formatCode>#,##0.0;[Red]\(#,##0.0\);\-</c:formatCode>
                <c:ptCount val="5"/>
                <c:pt idx="0">
                  <c:v>-10.940743749999999</c:v>
                </c:pt>
                <c:pt idx="1">
                  <c:v>-11.410718764444445</c:v>
                </c:pt>
                <c:pt idx="2">
                  <c:v>-7.9287000040740834</c:v>
                </c:pt>
                <c:pt idx="3">
                  <c:v>-2.9120755555555577</c:v>
                </c:pt>
                <c:pt idx="4">
                  <c:v>3.2217693804888921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6FC-6644-8AF9-4B9FE78C0507}"/>
            </c:ext>
          </c:extLst>
        </c:ser>
        <c:ser>
          <c:idx val="2"/>
          <c:order val="2"/>
          <c:tx>
            <c:v>Deposits</c:v>
          </c:tx>
          <c:spPr>
            <a:ln>
              <a:prstDash val="solid"/>
            </a:ln>
          </c:spPr>
          <c:invertIfNegative val="1"/>
          <c:cat>
            <c:strRef>
              <c:f>Dashboard!$A$13:$A$17</c:f>
              <c:strCache>
                <c:ptCount val="5"/>
                <c:pt idx="0">
                  <c:v>FY1</c:v>
                </c:pt>
                <c:pt idx="1">
                  <c:v>FY2</c:v>
                </c:pt>
                <c:pt idx="2">
                  <c:v>FY3</c:v>
                </c:pt>
                <c:pt idx="3">
                  <c:v>FY4</c:v>
                </c:pt>
                <c:pt idx="4">
                  <c:v>FY5</c:v>
                </c:pt>
              </c:strCache>
            </c:strRef>
          </c:cat>
          <c:val>
            <c:numRef>
              <c:f>Dashboard!$D$13:$D$17</c:f>
              <c:numCache>
                <c:formatCode>#,##0.0;[Red]\(#,##0.0\);\-</c:formatCode>
                <c:ptCount val="5"/>
                <c:pt idx="0">
                  <c:v>48</c:v>
                </c:pt>
                <c:pt idx="1">
                  <c:v>85.5</c:v>
                </c:pt>
                <c:pt idx="2">
                  <c:v>140</c:v>
                </c:pt>
                <c:pt idx="3">
                  <c:v>220</c:v>
                </c:pt>
                <c:pt idx="4">
                  <c:v>312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6FC-6644-8AF9-4B9FE78C05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w="9525">
              <a:solidFill>
                <a:srgbClr val="CCCCCC"/>
              </a:solidFill>
              <a:prstDash val="dash"/>
            </a:ln>
          </c:spPr>
        </c:majorGridlines>
        <c:numFmt formatCode=";;" sourceLinked="0"/>
        <c:majorTickMark val="none"/>
        <c:minorTickMark val="none"/>
        <c:tickLblPos val="nextTo"/>
        <c:crossAx val="48672768"/>
        <c:crosses val="autoZero"/>
        <c:auto val="1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w="9525">
              <a:solidFill>
                <a:srgbClr val="CCCCCC"/>
              </a:solidFill>
              <a:prstDash val="dash"/>
            </a:ln>
          </c:spPr>
        </c:majorGridlines>
        <c:numFmt formatCode=";;" sourceLinked="0"/>
        <c:majorTickMark val="none"/>
        <c:minorTickMark val="none"/>
        <c:tickLblPos val="nextTo"/>
        <c:crossAx val="48650112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1"/>
  </c:chart>
  <c:spPr>
    <a:ln w="9525">
      <a:solidFill>
        <a:srgbClr val="D9D9D9"/>
      </a:solidFill>
      <a:prstDash val="solid"/>
    </a:ln>
  </c:sp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title>
      <c:tx>
        <c:rich>
          <a:bodyPr/>
          <a:lstStyle/>
          <a:p>
            <a:r>
              <a:rPr lang="en-US"/>
              <a:t>Regulatory Ratios</a:t>
            </a:r>
          </a:p>
        </c:rich>
      </c:tx>
      <c:overlay val="0"/>
    </c:title>
    <c:autoTitleDeleted val="0"/>
    <c:plotArea>
      <c:layout/>
      <c:lineChart>
        <c:grouping val="standard"/>
        <c:varyColors val="1"/>
        <c:ser>
          <c:idx val="0"/>
          <c:order val="0"/>
          <c:tx>
            <c:v>Capital adequacy ratio [CAR]</c:v>
          </c:tx>
          <c:spPr>
            <a:ln>
              <a:prstDash val="solid"/>
            </a:ln>
          </c:spPr>
          <c:marker>
            <c:symbol val="none"/>
          </c:marker>
          <c:cat>
            <c:strRef>
              <c:f>Dashboard!$H$13:$H$17</c:f>
              <c:strCache>
                <c:ptCount val="5"/>
                <c:pt idx="0">
                  <c:v>FY1</c:v>
                </c:pt>
                <c:pt idx="1">
                  <c:v>FY2</c:v>
                </c:pt>
                <c:pt idx="2">
                  <c:v>FY3</c:v>
                </c:pt>
                <c:pt idx="3">
                  <c:v>FY4</c:v>
                </c:pt>
                <c:pt idx="4">
                  <c:v>FY5</c:v>
                </c:pt>
              </c:strCache>
            </c:strRef>
          </c:cat>
          <c:val>
            <c:numRef>
              <c:f>Dashboard!$I$13:$I$17</c:f>
              <c:numCache>
                <c:formatCode>0.0%;[Red]\(0.0%\);\-</c:formatCode>
                <c:ptCount val="5"/>
                <c:pt idx="0">
                  <c:v>0.59716670781617076</c:v>
                </c:pt>
                <c:pt idx="1">
                  <c:v>0.9128373950163835</c:v>
                </c:pt>
                <c:pt idx="2">
                  <c:v>1.0735303398747926</c:v>
                </c:pt>
                <c:pt idx="3">
                  <c:v>0.71462011257088864</c:v>
                </c:pt>
                <c:pt idx="4">
                  <c:v>0.56268885361133136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633-F749-A88B-01C0C5A3BAE4}"/>
            </c:ext>
          </c:extLst>
        </c:ser>
        <c:ser>
          <c:idx val="1"/>
          <c:order val="1"/>
          <c:tx>
            <c:v>LCR</c:v>
          </c:tx>
          <c:spPr>
            <a:ln>
              <a:prstDash val="solid"/>
            </a:ln>
          </c:spPr>
          <c:marker>
            <c:symbol val="none"/>
          </c:marker>
          <c:cat>
            <c:strRef>
              <c:f>Dashboard!$H$13:$H$17</c:f>
              <c:strCache>
                <c:ptCount val="5"/>
                <c:pt idx="0">
                  <c:v>FY1</c:v>
                </c:pt>
                <c:pt idx="1">
                  <c:v>FY2</c:v>
                </c:pt>
                <c:pt idx="2">
                  <c:v>FY3</c:v>
                </c:pt>
                <c:pt idx="3">
                  <c:v>FY4</c:v>
                </c:pt>
                <c:pt idx="4">
                  <c:v>FY5</c:v>
                </c:pt>
              </c:strCache>
            </c:strRef>
          </c:cat>
          <c:val>
            <c:numRef>
              <c:f>Dashboard!$J$13:$J$17</c:f>
              <c:numCache>
                <c:formatCode>0.0%;[Red]\(0.0%\);\-</c:formatCode>
                <c:ptCount val="5"/>
                <c:pt idx="0">
                  <c:v>3.2611450846354164</c:v>
                </c:pt>
                <c:pt idx="1">
                  <c:v>4.0226786269087071</c:v>
                </c:pt>
                <c:pt idx="2">
                  <c:v>4.2105441947503301</c:v>
                </c:pt>
                <c:pt idx="3">
                  <c:v>3.4284194551741369</c:v>
                </c:pt>
                <c:pt idx="4">
                  <c:v>3.1346985297207004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633-F749-A88B-01C0C5A3BAE4}"/>
            </c:ext>
          </c:extLst>
        </c:ser>
        <c:ser>
          <c:idx val="2"/>
          <c:order val="2"/>
          <c:tx>
            <c:v>NSFR</c:v>
          </c:tx>
          <c:spPr>
            <a:ln>
              <a:prstDash val="solid"/>
            </a:ln>
          </c:spPr>
          <c:marker>
            <c:symbol val="none"/>
          </c:marker>
          <c:cat>
            <c:strRef>
              <c:f>Dashboard!$H$13:$H$17</c:f>
              <c:strCache>
                <c:ptCount val="5"/>
                <c:pt idx="0">
                  <c:v>FY1</c:v>
                </c:pt>
                <c:pt idx="1">
                  <c:v>FY2</c:v>
                </c:pt>
                <c:pt idx="2">
                  <c:v>FY3</c:v>
                </c:pt>
                <c:pt idx="3">
                  <c:v>FY4</c:v>
                </c:pt>
                <c:pt idx="4">
                  <c:v>FY5</c:v>
                </c:pt>
              </c:strCache>
            </c:strRef>
          </c:cat>
          <c:val>
            <c:numRef>
              <c:f>Dashboard!$K$13:$K$17</c:f>
              <c:numCache>
                <c:formatCode>0.0%;[Red]\(0.0%\);\-</c:formatCode>
                <c:ptCount val="5"/>
                <c:pt idx="0">
                  <c:v>1.4245060375485901</c:v>
                </c:pt>
                <c:pt idx="1">
                  <c:v>1.8670190110875013</c:v>
                </c:pt>
                <c:pt idx="2">
                  <c:v>2.1174535054434132</c:v>
                </c:pt>
                <c:pt idx="3">
                  <c:v>1.801939614242557</c:v>
                </c:pt>
                <c:pt idx="4">
                  <c:v>1.6933424258367265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4633-F749-A88B-01C0C5A3BAE4}"/>
            </c:ext>
          </c:extLst>
        </c:ser>
        <c:ser>
          <c:idx val="3"/>
          <c:order val="3"/>
          <c:tx>
            <c:v>Finance/deposit</c:v>
          </c:tx>
          <c:spPr>
            <a:ln>
              <a:prstDash val="solid"/>
            </a:ln>
          </c:spPr>
          <c:marker>
            <c:symbol val="none"/>
          </c:marker>
          <c:cat>
            <c:strRef>
              <c:f>Dashboard!$H$13:$H$17</c:f>
              <c:strCache>
                <c:ptCount val="5"/>
                <c:pt idx="0">
                  <c:v>FY1</c:v>
                </c:pt>
                <c:pt idx="1">
                  <c:v>FY2</c:v>
                </c:pt>
                <c:pt idx="2">
                  <c:v>FY3</c:v>
                </c:pt>
                <c:pt idx="3">
                  <c:v>FY4</c:v>
                </c:pt>
                <c:pt idx="4">
                  <c:v>FY5</c:v>
                </c:pt>
              </c:strCache>
            </c:strRef>
          </c:cat>
          <c:val>
            <c:numRef>
              <c:f>Dashboard!$L$13:$L$17</c:f>
              <c:numCache>
                <c:formatCode>0.0%;[Red]\(0.0%\);\-</c:formatCode>
                <c:ptCount val="5"/>
                <c:pt idx="0">
                  <c:v>0</c:v>
                </c:pt>
                <c:pt idx="1">
                  <c:v>0.12</c:v>
                </c:pt>
                <c:pt idx="2">
                  <c:v>0.25</c:v>
                </c:pt>
                <c:pt idx="3">
                  <c:v>0.35</c:v>
                </c:pt>
                <c:pt idx="4">
                  <c:v>0.4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4633-F749-A88B-01C0C5A3BA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majorGridlines>
          <c:spPr>
            <a:ln w="9525">
              <a:solidFill>
                <a:srgbClr val="CCCCCC"/>
              </a:solidFill>
              <a:prstDash val="dash"/>
            </a:ln>
          </c:spPr>
        </c:majorGridlines>
        <c:numFmt formatCode=";;" sourceLinked="0"/>
        <c:majorTickMark val="none"/>
        <c:minorTickMark val="none"/>
        <c:tickLblPos val="nextTo"/>
        <c:crossAx val="48672768"/>
        <c:crosses val="autoZero"/>
        <c:auto val="1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w="9525">
              <a:solidFill>
                <a:srgbClr val="CCCCCC"/>
              </a:solidFill>
              <a:prstDash val="dash"/>
            </a:ln>
          </c:spPr>
        </c:majorGridlines>
        <c:numFmt formatCode=";;" sourceLinked="0"/>
        <c:majorTickMark val="none"/>
        <c:minorTickMark val="none"/>
        <c:tickLblPos val="nextTo"/>
        <c:crossAx val="48650112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1"/>
  </c:chart>
  <c:spPr>
    <a:ln w="9525">
      <a:solidFill>
        <a:srgbClr val="D9D9D9"/>
      </a:solidFill>
      <a:prstDash val="solid"/>
    </a:ln>
  </c:sp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title>
      <c:tx>
        <c:rich>
          <a:bodyPr/>
          <a:lstStyle/>
          <a:p>
            <a:r>
              <a:rPr lang="en-US"/>
              <a:t>Regulatory Ratios by Fiscal years</a:t>
            </a:r>
          </a:p>
        </c:rich>
      </c:tx>
      <c:overlay val="0"/>
    </c:title>
    <c:autoTitleDeleted val="0"/>
    <c:plotArea>
      <c:layout/>
      <c:lineChart>
        <c:grouping val="standard"/>
        <c:varyColors val="1"/>
        <c:ser>
          <c:idx val="0"/>
          <c:order val="0"/>
          <c:tx>
            <c:v>CAR overlay</c:v>
          </c:tx>
          <c:spPr>
            <a:ln>
              <a:prstDash val="solid"/>
            </a:ln>
          </c:spPr>
          <c:marker>
            <c:symbol val="none"/>
          </c:marker>
          <c:cat>
            <c:strRef>
              <c:f>Enhanced_Dashboard!$N$3:$R$3</c:f>
              <c:strCache>
                <c:ptCount val="5"/>
                <c:pt idx="0">
                  <c:v>FY1</c:v>
                </c:pt>
                <c:pt idx="1">
                  <c:v>FY2</c:v>
                </c:pt>
                <c:pt idx="2">
                  <c:v>FY3</c:v>
                </c:pt>
                <c:pt idx="3">
                  <c:v>FY4</c:v>
                </c:pt>
                <c:pt idx="4">
                  <c:v>FY5</c:v>
                </c:pt>
              </c:strCache>
            </c:strRef>
          </c:cat>
          <c:val>
            <c:numRef>
              <c:f>Enhanced_Dashboard!$N$4:$R$4</c:f>
              <c:numCache>
                <c:formatCode>0.0%;[Red]\(0.0%\);\-</c:formatCode>
                <c:ptCount val="5"/>
                <c:pt idx="0">
                  <c:v>0.48814742220838342</c:v>
                </c:pt>
                <c:pt idx="1">
                  <c:v>0.64410350570535257</c:v>
                </c:pt>
                <c:pt idx="2">
                  <c:v>0.68341477851014409</c:v>
                </c:pt>
                <c:pt idx="3">
                  <c:v>0.43871055839692963</c:v>
                </c:pt>
                <c:pt idx="4">
                  <c:v>0.33396923929098687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C18-4342-B6F3-C70B040D0371}"/>
            </c:ext>
          </c:extLst>
        </c:ser>
        <c:ser>
          <c:idx val="1"/>
          <c:order val="1"/>
          <c:tx>
            <c:v>LCR</c:v>
          </c:tx>
          <c:spPr>
            <a:ln>
              <a:prstDash val="solid"/>
            </a:ln>
          </c:spPr>
          <c:marker>
            <c:symbol val="none"/>
          </c:marker>
          <c:cat>
            <c:strRef>
              <c:f>Enhanced_Dashboard!$N$3:$R$3</c:f>
              <c:strCache>
                <c:ptCount val="5"/>
                <c:pt idx="0">
                  <c:v>FY1</c:v>
                </c:pt>
                <c:pt idx="1">
                  <c:v>FY2</c:v>
                </c:pt>
                <c:pt idx="2">
                  <c:v>FY3</c:v>
                </c:pt>
                <c:pt idx="3">
                  <c:v>FY4</c:v>
                </c:pt>
                <c:pt idx="4">
                  <c:v>FY5</c:v>
                </c:pt>
              </c:strCache>
            </c:strRef>
          </c:cat>
          <c:val>
            <c:numRef>
              <c:f>Enhanced_Dashboard!$N$5:$R$5</c:f>
              <c:numCache>
                <c:formatCode>0.0%;[Red]\(0.0%\);\-</c:formatCode>
                <c:ptCount val="5"/>
                <c:pt idx="0">
                  <c:v>3.2611450846354164</c:v>
                </c:pt>
                <c:pt idx="1">
                  <c:v>4.0226786269087071</c:v>
                </c:pt>
                <c:pt idx="2">
                  <c:v>4.2105441947503301</c:v>
                </c:pt>
                <c:pt idx="3">
                  <c:v>3.4284194551741369</c:v>
                </c:pt>
                <c:pt idx="4">
                  <c:v>3.1346985297207004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C18-4342-B6F3-C70B040D0371}"/>
            </c:ext>
          </c:extLst>
        </c:ser>
        <c:ser>
          <c:idx val="2"/>
          <c:order val="2"/>
          <c:tx>
            <c:v>NSFR</c:v>
          </c:tx>
          <c:spPr>
            <a:ln>
              <a:prstDash val="solid"/>
            </a:ln>
          </c:spPr>
          <c:marker>
            <c:symbol val="none"/>
          </c:marker>
          <c:cat>
            <c:strRef>
              <c:f>Enhanced_Dashboard!$N$3:$R$3</c:f>
              <c:strCache>
                <c:ptCount val="5"/>
                <c:pt idx="0">
                  <c:v>FY1</c:v>
                </c:pt>
                <c:pt idx="1">
                  <c:v>FY2</c:v>
                </c:pt>
                <c:pt idx="2">
                  <c:v>FY3</c:v>
                </c:pt>
                <c:pt idx="3">
                  <c:v>FY4</c:v>
                </c:pt>
                <c:pt idx="4">
                  <c:v>FY5</c:v>
                </c:pt>
              </c:strCache>
            </c:strRef>
          </c:cat>
          <c:val>
            <c:numRef>
              <c:f>Enhanced_Dashboard!$N$6:$R$6</c:f>
              <c:numCache>
                <c:formatCode>0.0%;[Red]\(0.0%\);\-</c:formatCode>
                <c:ptCount val="5"/>
                <c:pt idx="0">
                  <c:v>1.4245060375485901</c:v>
                </c:pt>
                <c:pt idx="1">
                  <c:v>1.8670190110875013</c:v>
                </c:pt>
                <c:pt idx="2">
                  <c:v>2.1174535054434132</c:v>
                </c:pt>
                <c:pt idx="3">
                  <c:v>1.801939614242557</c:v>
                </c:pt>
                <c:pt idx="4">
                  <c:v>1.6933424258367265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C18-4342-B6F3-C70B040D03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majorGridlines>
          <c:spPr>
            <a:ln w="9525">
              <a:solidFill>
                <a:srgbClr val="CCCCCC"/>
              </a:solidFill>
              <a:prstDash val="dash"/>
            </a:ln>
          </c:spPr>
        </c:majorGridlines>
        <c:numFmt formatCode="General" sourceLinked="0"/>
        <c:majorTickMark val="none"/>
        <c:minorTickMark val="none"/>
        <c:tickLblPos val="nextTo"/>
        <c:crossAx val="48672768"/>
        <c:crosses val="autoZero"/>
        <c:auto val="1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w="9525">
              <a:solidFill>
                <a:srgbClr val="CCCCCC"/>
              </a:solidFill>
              <a:prstDash val="dash"/>
            </a:ln>
          </c:spPr>
        </c:majorGridlines>
        <c:numFmt formatCode="0.0%;[Red]\(0.0%\);\-" sourceLinked="1"/>
        <c:majorTickMark val="none"/>
        <c:minorTickMark val="none"/>
        <c:tickLblPos val="nextTo"/>
        <c:crossAx val="48650112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1"/>
  </c:chart>
  <c:spPr>
    <a:ln w="9525">
      <a:solidFill>
        <a:srgbClr val="D9D9D9"/>
      </a:solidFill>
      <a:prstDash val="solid"/>
    </a:ln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18</xdr:row>
      <xdr:rowOff>0</xdr:rowOff>
    </xdr:from>
    <xdr:to>
      <xdr:col>7</xdr:col>
      <xdr:colOff>0</xdr:colOff>
      <xdr:row>36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0</xdr:colOff>
      <xdr:row>18</xdr:row>
      <xdr:rowOff>0</xdr:rowOff>
    </xdr:from>
    <xdr:to>
      <xdr:col>13</xdr:col>
      <xdr:colOff>0</xdr:colOff>
      <xdr:row>36</xdr:row>
      <xdr:rowOff>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37</xdr:row>
      <xdr:rowOff>0</xdr:rowOff>
    </xdr:from>
    <xdr:to>
      <xdr:col>13</xdr:col>
      <xdr:colOff>0</xdr:colOff>
      <xdr:row>55</xdr:row>
      <xdr:rowOff>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11</xdr:row>
      <xdr:rowOff>0</xdr:rowOff>
    </xdr:from>
    <xdr:to>
      <xdr:col>11</xdr:col>
      <xdr:colOff>0</xdr:colOff>
      <xdr:row>30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RegFrameworkTable" displayName="RegFrameworkTable" ref="A4:G13" headerRowDxfId="61" dataDxfId="60" totalsRowDxfId="59">
  <tableColumns count="7">
    <tableColumn id="1" xr3:uid="{00000000-0010-0000-0000-000001000000}" name="Area" dataDxfId="58"/>
    <tableColumn id="2" xr3:uid="{00000000-0010-0000-0000-000002000000}" name="Applicable source / standard" dataDxfId="57"/>
    <tableColumn id="3" xr3:uid="{00000000-0010-0000-0000-000003000000}" name="Model implication" dataDxfId="56"/>
    <tableColumn id="4" xr3:uid="{00000000-0010-0000-0000-000004000000}" name="Sheet / control added" dataDxfId="55"/>
    <tableColumn id="5" xr3:uid="{00000000-0010-0000-0000-000005000000}" name="Current model treatment" dataDxfId="54"/>
    <tableColumn id="6" xr3:uid="{00000000-0010-0000-0000-000006000000}" name="Action required before CBI submission" dataDxfId="53"/>
    <tableColumn id="7" xr3:uid="{00000000-0010-0000-0000-000007000000}" name="Source link" dataDxfId="52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BaselCBITable" displayName="BaselCBITable" ref="A4:F29" headerRowDxfId="51" dataDxfId="50" totalsRowDxfId="49">
  <tableColumns count="6">
    <tableColumn id="1" xr3:uid="{00000000-0010-0000-0100-000001000000}" name="Metric" dataDxfId="48"/>
    <tableColumn id="2" xr3:uid="{00000000-0010-0000-0100-000002000000}" name="FY1_x000a_Aug26-Jul27" dataDxfId="47"/>
    <tableColumn id="3" xr3:uid="{00000000-0010-0000-0100-000003000000}" name="FY2_x000a_Aug27-Jul28" dataDxfId="46"/>
    <tableColumn id="4" xr3:uid="{00000000-0010-0000-0100-000004000000}" name="FY3_x000a_Aug28-Jul29" dataDxfId="45"/>
    <tableColumn id="5" xr3:uid="{00000000-0010-0000-0100-000005000000}" name="FY4_x000a_Aug29-Jul30" dataDxfId="44"/>
    <tableColumn id="6" xr3:uid="{00000000-0010-0000-0100-000006000000}" name="FY5_x000a_Aug30-Jul31" dataDxfId="43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AccountingOverlayTable" displayName="AccountingOverlayTable" ref="A4:G12" headerRowDxfId="42" dataDxfId="41" totalsRowDxfId="40">
  <tableColumns count="7">
    <tableColumn id="1" xr3:uid="{00000000-0010-0000-0200-000001000000}" name="Topic" dataDxfId="39"/>
    <tableColumn id="2" xr3:uid="{00000000-0010-0000-0200-000002000000}" name="Islamic / accounting principle" dataDxfId="38"/>
    <tableColumn id="3" xr3:uid="{00000000-0010-0000-0200-000003000000}" name="Model treatment" dataDxfId="37"/>
    <tableColumn id="4" xr3:uid="{00000000-0010-0000-0200-000004000000}" name="Relevant financial model line" dataDxfId="36"/>
    <tableColumn id="5" xr3:uid="{00000000-0010-0000-0200-000005000000}" name="Key risk if not addressed" dataDxfId="35"/>
    <tableColumn id="6" xr3:uid="{00000000-0010-0000-0200-000006000000}" name="Recommended enhancement" dataDxfId="34"/>
    <tableColumn id="7" xr3:uid="{00000000-0010-0000-0200-000007000000}" name="Reference" dataDxfId="33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3000000}" name="StressChecksTable" displayName="StressChecksTable" ref="A4:F17" headerRowDxfId="32" dataDxfId="31" totalsRowDxfId="30">
  <tableColumns count="6">
    <tableColumn id="1" xr3:uid="{00000000-0010-0000-0300-000001000000}" name="Stress metric" dataDxfId="29"/>
    <tableColumn id="2" xr3:uid="{00000000-0010-0000-0300-000002000000}" name="FY1_x000a_Aug26-Jul27" dataDxfId="28"/>
    <tableColumn id="3" xr3:uid="{00000000-0010-0000-0300-000003000000}" name="FY2_x000a_Aug27-Jul28" dataDxfId="27"/>
    <tableColumn id="4" xr3:uid="{00000000-0010-0000-0300-000004000000}" name="FY3_x000a_Aug28-Jul29" dataDxfId="26"/>
    <tableColumn id="5" xr3:uid="{00000000-0010-0000-0300-000005000000}" name="FY4_x000a_Aug29-Jul30" dataDxfId="25"/>
    <tableColumn id="6" xr3:uid="{00000000-0010-0000-0300-000006000000}" name="FY5_x000a_Aug30-Jul31" dataDxfId="24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EnhancedDashboardTable" displayName="EnhancedDashboardTable" ref="A3:K10" headerRowDxfId="23" dataDxfId="22" totalsRowDxfId="21">
  <tableColumns count="11">
    <tableColumn id="1" xr3:uid="{00000000-0010-0000-0400-000001000000}" name="KPI" dataDxfId="20"/>
    <tableColumn id="2" xr3:uid="{00000000-0010-0000-0400-000002000000}" name="FY1" dataDxfId="19"/>
    <tableColumn id="3" xr3:uid="{00000000-0010-0000-0400-000003000000}" name="FY2" dataDxfId="18"/>
    <tableColumn id="4" xr3:uid="{00000000-0010-0000-0400-000004000000}" name="FY3" dataDxfId="17"/>
    <tableColumn id="5" xr3:uid="{00000000-0010-0000-0400-000005000000}" name="FY4" dataDxfId="16"/>
    <tableColumn id="6" xr3:uid="{00000000-0010-0000-0400-000006000000}" name="FY5" dataDxfId="15"/>
    <tableColumn id="7" xr3:uid="{00000000-0010-0000-0400-000007000000}" name="Interpretation" dataDxfId="14"/>
    <tableColumn id="8" xr3:uid="{00000000-0010-0000-0400-000008000000}" name="Minimum / target" dataDxfId="13"/>
    <tableColumn id="9" xr3:uid="{00000000-0010-0000-0400-000009000000}" name="Status" dataDxfId="12"/>
    <tableColumn id="10" xr3:uid="{00000000-0010-0000-0400-00000A000000}" name="Source sheet" dataDxfId="11"/>
    <tableColumn id="11" xr3:uid="{00000000-0010-0000-0400-00000B000000}" name="Comment" dataDxfId="10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CBI_Standards_Map" displayName="CBI_Standards_Map" ref="A4:G24" headerRowDxfId="9" dataDxfId="8" totalsRowDxfId="7">
  <autoFilter ref="A4:G24" xr:uid="{00000000-0009-0000-0100-000006000000}"/>
  <tableColumns count="7">
    <tableColumn id="1" xr3:uid="{00000000-0010-0000-0500-000001000000}" name="#" dataDxfId="6"/>
    <tableColumn id="2" xr3:uid="{00000000-0010-0000-0500-000002000000}" name="Requirement/gap" dataDxfId="5"/>
    <tableColumn id="3" xr3:uid="{00000000-0010-0000-0500-000003000000}" name="Financial impact" dataDxfId="4"/>
    <tableColumn id="4" xr3:uid="{00000000-0010-0000-0500-000004000000}" name="Inverse method in the model" dataDxfId="3"/>
    <tableColumn id="5" xr3:uid="{00000000-0010-0000-0500-000005000000}" name="Treatment site" dataDxfId="2"/>
    <tableColumn id="6" xr3:uid="{00000000-0010-0000-0500-000006000000}" name="Supporting document required" dataDxfId="1"/>
    <tableColumn id="7" xr3:uid="{00000000-0010-0000-0500-000007000000}" name="Status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drawing" Target="../drawings/drawing2.xm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0"/>
  <sheetViews>
    <sheetView workbookViewId="0">
      <selection activeCell="B10" sqref="B10"/>
    </sheetView>
  </sheetViews>
  <sheetFormatPr defaultColWidth="8.875" defaultRowHeight="14.25"/>
  <cols>
    <col min="1" max="1" width="28" style="1" customWidth="1"/>
    <col min="2" max="2" width="92" style="1" customWidth="1"/>
    <col min="3" max="16384" width="8.875" style="1"/>
  </cols>
  <sheetData>
    <row r="1" spans="1:8" ht="27.95" customHeight="1">
      <c r="A1" s="130" t="s">
        <v>0</v>
      </c>
      <c r="B1" s="129"/>
      <c r="C1" s="129"/>
      <c r="D1" s="129"/>
      <c r="E1" s="129"/>
      <c r="F1" s="129"/>
      <c r="G1" s="129"/>
      <c r="H1" s="129"/>
    </row>
    <row r="2" spans="1:8" ht="35.1" customHeight="1">
      <c r="A2" s="128" t="s">
        <v>1</v>
      </c>
      <c r="B2" s="129"/>
      <c r="C2" s="129"/>
      <c r="D2" s="129"/>
      <c r="E2" s="129"/>
      <c r="F2" s="129"/>
      <c r="G2" s="129"/>
      <c r="H2" s="129"/>
    </row>
    <row r="3" spans="1:8">
      <c r="A3" s="2"/>
      <c r="B3" s="2"/>
    </row>
    <row r="4" spans="1:8" ht="15">
      <c r="A4" s="3" t="s">
        <v>2</v>
      </c>
      <c r="B4" s="4" t="s">
        <v>3</v>
      </c>
    </row>
    <row r="5" spans="1:8" ht="15">
      <c r="A5" s="5" t="s">
        <v>4</v>
      </c>
      <c r="B5" s="6" t="s">
        <v>5</v>
      </c>
    </row>
    <row r="6" spans="1:8" ht="15">
      <c r="A6" s="5" t="s">
        <v>6</v>
      </c>
      <c r="B6" s="6" t="s">
        <v>7</v>
      </c>
    </row>
    <row r="7" spans="1:8" ht="15">
      <c r="A7" s="5" t="s">
        <v>8</v>
      </c>
      <c r="B7" s="6" t="s">
        <v>9</v>
      </c>
    </row>
    <row r="8" spans="1:8" ht="27.75" customHeight="1">
      <c r="A8" s="5" t="s">
        <v>10</v>
      </c>
      <c r="B8" s="6" t="s">
        <v>11</v>
      </c>
    </row>
    <row r="9" spans="1:8" ht="15">
      <c r="A9" s="5" t="s">
        <v>12</v>
      </c>
      <c r="B9" s="6" t="s">
        <v>13</v>
      </c>
    </row>
    <row r="10" spans="1:8" ht="27.75" customHeight="1">
      <c r="A10" s="5" t="s">
        <v>14</v>
      </c>
      <c r="B10" s="6" t="s">
        <v>15</v>
      </c>
    </row>
  </sheetData>
  <mergeCells count="2">
    <mergeCell ref="A2:H2"/>
    <mergeCell ref="A1:H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34"/>
  <sheetViews>
    <sheetView topLeftCell="B8" workbookViewId="0">
      <selection sqref="A1:XFD1048576"/>
    </sheetView>
  </sheetViews>
  <sheetFormatPr defaultColWidth="8.875" defaultRowHeight="14.25"/>
  <cols>
    <col min="1" max="1" width="8" style="1" customWidth="1"/>
    <col min="2" max="2" width="34" style="1" customWidth="1"/>
    <col min="3" max="3" width="30" style="1" customWidth="1"/>
    <col min="4" max="4" width="48" style="1" customWidth="1"/>
    <col min="5" max="5" width="18" style="1" customWidth="1"/>
    <col min="6" max="6" width="60" style="1" customWidth="1"/>
    <col min="7" max="16384" width="8.875" style="1"/>
  </cols>
  <sheetData>
    <row r="1" spans="1:6" ht="27.95" customHeight="1">
      <c r="A1" s="130" t="s">
        <v>16</v>
      </c>
      <c r="B1" s="129"/>
      <c r="C1" s="129"/>
      <c r="D1" s="129"/>
      <c r="E1" s="129"/>
      <c r="F1" s="129"/>
    </row>
    <row r="2" spans="1:6" ht="35.1" customHeight="1">
      <c r="A2" s="128" t="s">
        <v>17</v>
      </c>
      <c r="B2" s="129"/>
      <c r="C2" s="129"/>
      <c r="D2" s="129"/>
      <c r="E2" s="129"/>
      <c r="F2" s="129"/>
    </row>
    <row r="3" spans="1:6">
      <c r="A3" s="2"/>
      <c r="B3" s="2"/>
      <c r="C3" s="2"/>
      <c r="D3" s="2"/>
      <c r="E3" s="2"/>
      <c r="F3" s="2"/>
    </row>
    <row r="4" spans="1:6" ht="15">
      <c r="A4" s="7" t="s">
        <v>18</v>
      </c>
      <c r="B4" s="8" t="s">
        <v>19</v>
      </c>
      <c r="C4" s="8" t="s">
        <v>20</v>
      </c>
      <c r="D4" s="8" t="s">
        <v>21</v>
      </c>
      <c r="E4" s="8" t="s">
        <v>22</v>
      </c>
      <c r="F4" s="9" t="s">
        <v>23</v>
      </c>
    </row>
    <row r="5" spans="1:6" ht="41.25" customHeight="1">
      <c r="A5" s="10">
        <v>1</v>
      </c>
      <c r="B5" s="11" t="s">
        <v>24</v>
      </c>
      <c r="C5" s="11" t="s">
        <v>25</v>
      </c>
      <c r="D5" s="11" t="s">
        <v>26</v>
      </c>
      <c r="E5" s="12" t="str">
        <f t="shared" ref="E5:E16" si="0">HYPERLINK(F5,"Open Source")</f>
        <v>Open Source</v>
      </c>
      <c r="F5" s="6" t="s">
        <v>27</v>
      </c>
    </row>
    <row r="6" spans="1:6" ht="27.75" customHeight="1">
      <c r="A6" s="10">
        <v>2</v>
      </c>
      <c r="B6" s="11" t="s">
        <v>28</v>
      </c>
      <c r="C6" s="11" t="s">
        <v>25</v>
      </c>
      <c r="D6" s="11" t="s">
        <v>29</v>
      </c>
      <c r="E6" s="12" t="str">
        <f t="shared" si="0"/>
        <v>Open Source</v>
      </c>
      <c r="F6" s="6" t="s">
        <v>30</v>
      </c>
    </row>
    <row r="7" spans="1:6" ht="27.75" customHeight="1">
      <c r="A7" s="10">
        <v>3</v>
      </c>
      <c r="B7" s="11" t="s">
        <v>31</v>
      </c>
      <c r="C7" s="11" t="s">
        <v>25</v>
      </c>
      <c r="D7" s="11" t="s">
        <v>32</v>
      </c>
      <c r="E7" s="12" t="str">
        <f t="shared" si="0"/>
        <v>Open Source</v>
      </c>
      <c r="F7" s="6" t="s">
        <v>33</v>
      </c>
    </row>
    <row r="8" spans="1:6" ht="27.75" customHeight="1">
      <c r="A8" s="10">
        <v>4</v>
      </c>
      <c r="B8" s="11" t="s">
        <v>34</v>
      </c>
      <c r="C8" s="11" t="s">
        <v>25</v>
      </c>
      <c r="D8" s="11" t="s">
        <v>35</v>
      </c>
      <c r="E8" s="12" t="str">
        <f t="shared" si="0"/>
        <v>Open Source</v>
      </c>
      <c r="F8" s="6" t="s">
        <v>36</v>
      </c>
    </row>
    <row r="9" spans="1:6" ht="27.75" customHeight="1">
      <c r="A9" s="10">
        <v>5</v>
      </c>
      <c r="B9" s="11" t="s">
        <v>37</v>
      </c>
      <c r="C9" s="11" t="s">
        <v>38</v>
      </c>
      <c r="D9" s="11" t="s">
        <v>39</v>
      </c>
      <c r="E9" s="12" t="str">
        <f t="shared" si="0"/>
        <v>Open Source</v>
      </c>
      <c r="F9" s="6" t="s">
        <v>40</v>
      </c>
    </row>
    <row r="10" spans="1:6" ht="28.5">
      <c r="A10" s="10">
        <v>6</v>
      </c>
      <c r="B10" s="11" t="s">
        <v>41</v>
      </c>
      <c r="C10" s="11" t="s">
        <v>42</v>
      </c>
      <c r="D10" s="11" t="s">
        <v>43</v>
      </c>
      <c r="E10" s="12" t="str">
        <f t="shared" si="0"/>
        <v>Open Source</v>
      </c>
      <c r="F10" s="6" t="s">
        <v>44</v>
      </c>
    </row>
    <row r="11" spans="1:6">
      <c r="A11" s="10">
        <v>7</v>
      </c>
      <c r="B11" s="11" t="s">
        <v>45</v>
      </c>
      <c r="C11" s="11" t="s">
        <v>46</v>
      </c>
      <c r="D11" s="11" t="s">
        <v>47</v>
      </c>
      <c r="E11" s="12" t="str">
        <f t="shared" si="0"/>
        <v>Open Source</v>
      </c>
      <c r="F11" s="6" t="s">
        <v>48</v>
      </c>
    </row>
    <row r="12" spans="1:6">
      <c r="A12" s="13">
        <v>8</v>
      </c>
      <c r="B12" s="14" t="s">
        <v>49</v>
      </c>
      <c r="C12" s="14" t="s">
        <v>25</v>
      </c>
      <c r="D12" s="14" t="s">
        <v>50</v>
      </c>
      <c r="E12" s="15" t="str">
        <f t="shared" si="0"/>
        <v>Open Source</v>
      </c>
      <c r="F12" s="16" t="s">
        <v>51</v>
      </c>
    </row>
    <row r="13" spans="1:6" ht="27.75" customHeight="1">
      <c r="A13" s="2">
        <v>9</v>
      </c>
      <c r="B13" s="2" t="s">
        <v>52</v>
      </c>
      <c r="C13" s="2" t="s">
        <v>25</v>
      </c>
      <c r="D13" s="2" t="s">
        <v>53</v>
      </c>
      <c r="E13" s="2" t="str">
        <f t="shared" si="0"/>
        <v>Open Source</v>
      </c>
      <c r="F13" s="2" t="s">
        <v>54</v>
      </c>
    </row>
    <row r="14" spans="1:6" ht="27.75" customHeight="1">
      <c r="A14" s="2">
        <v>10</v>
      </c>
      <c r="B14" s="2" t="s">
        <v>34</v>
      </c>
      <c r="C14" s="2" t="s">
        <v>25</v>
      </c>
      <c r="D14" s="2" t="s">
        <v>55</v>
      </c>
      <c r="E14" s="2" t="str">
        <f t="shared" si="0"/>
        <v>Open Source</v>
      </c>
      <c r="F14" s="2" t="s">
        <v>36</v>
      </c>
    </row>
    <row r="15" spans="1:6" ht="27.75" customHeight="1">
      <c r="A15" s="2">
        <v>11</v>
      </c>
      <c r="B15" s="2" t="s">
        <v>56</v>
      </c>
      <c r="C15" s="2" t="s">
        <v>57</v>
      </c>
      <c r="D15" s="2" t="s">
        <v>58</v>
      </c>
      <c r="E15" s="2" t="str">
        <f t="shared" si="0"/>
        <v>Open Source</v>
      </c>
      <c r="F15" s="2" t="s">
        <v>59</v>
      </c>
    </row>
    <row r="16" spans="1:6" ht="27.75" customHeight="1">
      <c r="A16" s="2">
        <v>12</v>
      </c>
      <c r="B16" s="2" t="s">
        <v>60</v>
      </c>
      <c r="C16" s="2" t="s">
        <v>57</v>
      </c>
      <c r="D16" s="2" t="s">
        <v>61</v>
      </c>
      <c r="E16" s="2" t="str">
        <f t="shared" si="0"/>
        <v>Open Source</v>
      </c>
      <c r="F16" s="2" t="s">
        <v>62</v>
      </c>
    </row>
    <row r="17" spans="1:6" ht="27.75" customHeight="1">
      <c r="A17" s="2">
        <v>13</v>
      </c>
      <c r="B17" s="2" t="s">
        <v>63</v>
      </c>
      <c r="C17" s="2" t="s">
        <v>64</v>
      </c>
      <c r="D17" s="2" t="s">
        <v>65</v>
      </c>
      <c r="E17" s="2" t="str">
        <f>HYPERLINK("https://aaoifi.com/accounting-standards-2/?lang=en","Open Source")</f>
        <v>Open Source</v>
      </c>
      <c r="F17" s="2" t="s">
        <v>66</v>
      </c>
    </row>
    <row r="18" spans="1:6" ht="27.75" customHeight="1">
      <c r="A18" s="2">
        <v>14</v>
      </c>
      <c r="B18" s="2" t="s">
        <v>67</v>
      </c>
      <c r="C18" s="2" t="s">
        <v>64</v>
      </c>
      <c r="D18" s="2" t="s">
        <v>68</v>
      </c>
      <c r="E18" s="2" t="str">
        <f>HYPERLINK("https://aaoifi.com/shariah-standards-3/?lang=en","Open Source")</f>
        <v>Open Source</v>
      </c>
      <c r="F18" s="2" t="s">
        <v>69</v>
      </c>
    </row>
    <row r="19" spans="1:6" ht="27.75" customHeight="1">
      <c r="A19" s="2">
        <v>15</v>
      </c>
      <c r="B19" s="2" t="s">
        <v>70</v>
      </c>
      <c r="C19" s="2" t="s">
        <v>71</v>
      </c>
      <c r="D19" s="2" t="s">
        <v>72</v>
      </c>
      <c r="E19" s="2" t="str">
        <f>HYPERLINK("https://www.ifrs.org/use-around-the-world/use-of-ifrs-standards-by-jurisdiction/view-jurisdiction/iraq/","Open Source")</f>
        <v>Open Source</v>
      </c>
      <c r="F19" s="2" t="s">
        <v>73</v>
      </c>
    </row>
    <row r="20" spans="1:6" ht="27.75" customHeight="1">
      <c r="A20" s="2">
        <v>16</v>
      </c>
      <c r="B20" s="2" t="s">
        <v>74</v>
      </c>
      <c r="C20" s="2" t="s">
        <v>75</v>
      </c>
      <c r="D20" s="2" t="s">
        <v>76</v>
      </c>
      <c r="E20" s="2" t="str">
        <f>HYPERLINK("https://www.ifsb.org/standards-page/","Open Source")</f>
        <v>Open Source</v>
      </c>
      <c r="F20" s="2" t="s">
        <v>77</v>
      </c>
    </row>
    <row r="21" spans="1:6">
      <c r="A21" s="2"/>
      <c r="B21" s="2"/>
      <c r="C21" s="2"/>
      <c r="D21" s="2"/>
      <c r="E21" s="2"/>
      <c r="F21" s="2"/>
    </row>
    <row r="22" spans="1:6" ht="41.25" customHeight="1">
      <c r="A22" s="2" t="s">
        <v>78</v>
      </c>
      <c r="B22" s="2" t="s">
        <v>79</v>
      </c>
      <c r="C22" s="2" t="s">
        <v>80</v>
      </c>
      <c r="D22" s="2" t="s">
        <v>81</v>
      </c>
      <c r="E22" s="2" t="s">
        <v>82</v>
      </c>
      <c r="F22" s="2"/>
    </row>
    <row r="23" spans="1:6" ht="54.75" customHeight="1">
      <c r="A23" s="2" t="s">
        <v>83</v>
      </c>
      <c r="B23" s="2" t="s">
        <v>84</v>
      </c>
      <c r="C23" s="2" t="s">
        <v>85</v>
      </c>
      <c r="D23" s="2" t="s">
        <v>86</v>
      </c>
      <c r="E23" s="2" t="s">
        <v>87</v>
      </c>
      <c r="F23" s="2"/>
    </row>
    <row r="24" spans="1:6" ht="27.75" customHeight="1">
      <c r="A24" s="2" t="s">
        <v>88</v>
      </c>
      <c r="B24" s="2" t="s">
        <v>89</v>
      </c>
      <c r="C24" s="2" t="s">
        <v>90</v>
      </c>
      <c r="D24" s="2" t="s">
        <v>91</v>
      </c>
      <c r="E24" s="2" t="s">
        <v>92</v>
      </c>
      <c r="F24" s="2"/>
    </row>
    <row r="25" spans="1:6" ht="27.75" customHeight="1">
      <c r="A25" s="2" t="s">
        <v>93</v>
      </c>
      <c r="B25" s="2" t="s">
        <v>94</v>
      </c>
      <c r="C25" s="2" t="s">
        <v>95</v>
      </c>
      <c r="D25" s="2" t="s">
        <v>96</v>
      </c>
      <c r="E25" s="2" t="s">
        <v>97</v>
      </c>
      <c r="F25" s="2"/>
    </row>
    <row r="26" spans="1:6">
      <c r="A26" s="2"/>
      <c r="B26" s="2"/>
      <c r="C26" s="2"/>
      <c r="D26" s="2"/>
      <c r="E26" s="2"/>
      <c r="F26" s="2"/>
    </row>
    <row r="27" spans="1:6" ht="41.25" customHeight="1">
      <c r="A27" s="17">
        <v>17</v>
      </c>
      <c r="B27" s="17" t="s">
        <v>98</v>
      </c>
      <c r="C27" s="17" t="s">
        <v>64</v>
      </c>
      <c r="D27" s="17" t="s">
        <v>99</v>
      </c>
      <c r="E27" s="17" t="str">
        <f>HYPERLINK(F27,"Open Source")</f>
        <v>Open Source</v>
      </c>
      <c r="F27" s="17" t="s">
        <v>100</v>
      </c>
    </row>
    <row r="28" spans="1:6" ht="41.25" customHeight="1">
      <c r="A28" s="2">
        <v>18</v>
      </c>
      <c r="B28" s="2" t="s">
        <v>101</v>
      </c>
      <c r="C28" s="2" t="s">
        <v>64</v>
      </c>
      <c r="D28" s="2" t="s">
        <v>102</v>
      </c>
      <c r="E28" s="2" t="str">
        <f>HYPERLINK(F28,"Open Source")</f>
        <v>Open Source</v>
      </c>
      <c r="F28" s="2" t="s">
        <v>66</v>
      </c>
    </row>
    <row r="29" spans="1:6" ht="27.75" customHeight="1">
      <c r="A29" s="2">
        <v>19</v>
      </c>
      <c r="B29" s="2" t="s">
        <v>103</v>
      </c>
      <c r="C29" s="2" t="s">
        <v>104</v>
      </c>
      <c r="D29" s="2" t="s">
        <v>105</v>
      </c>
      <c r="E29" s="2" t="str">
        <f>HYPERLINK(F29,"Open Source")</f>
        <v>Open Source</v>
      </c>
      <c r="F29" s="2" t="s">
        <v>106</v>
      </c>
    </row>
    <row r="30" spans="1:6" ht="27.75" customHeight="1">
      <c r="A30" s="2">
        <v>20</v>
      </c>
      <c r="B30" s="2" t="s">
        <v>107</v>
      </c>
      <c r="C30" s="2" t="s">
        <v>71</v>
      </c>
      <c r="D30" s="2" t="s">
        <v>108</v>
      </c>
      <c r="E30" s="2" t="str">
        <f>HYPERLINK(F30,"Open Source")</f>
        <v>Open Source</v>
      </c>
      <c r="F30" s="2" t="s">
        <v>109</v>
      </c>
    </row>
    <row r="31" spans="1:6" ht="41.25" customHeight="1">
      <c r="A31" s="2">
        <v>21</v>
      </c>
      <c r="B31" s="2" t="s">
        <v>110</v>
      </c>
      <c r="C31" s="2" t="s">
        <v>79</v>
      </c>
      <c r="D31" s="2" t="s">
        <v>111</v>
      </c>
      <c r="E31" s="2"/>
      <c r="F31" s="2" t="s">
        <v>112</v>
      </c>
    </row>
    <row r="33" spans="1:4">
      <c r="A33" s="1" t="s">
        <v>25</v>
      </c>
      <c r="B33" s="1" t="s">
        <v>113</v>
      </c>
      <c r="C33" s="1" t="s">
        <v>114</v>
      </c>
      <c r="D33" s="1" t="s">
        <v>115</v>
      </c>
    </row>
    <row r="34" spans="1:4">
      <c r="A34" s="1" t="s">
        <v>25</v>
      </c>
      <c r="B34" s="1" t="s">
        <v>116</v>
      </c>
      <c r="C34" s="1" t="s">
        <v>117</v>
      </c>
      <c r="D34" s="1" t="s">
        <v>118</v>
      </c>
    </row>
  </sheetData>
  <mergeCells count="2">
    <mergeCell ref="A2:F2"/>
    <mergeCell ref="A1:F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69"/>
  <sheetViews>
    <sheetView workbookViewId="0">
      <selection sqref="A1:XFD1048576"/>
    </sheetView>
  </sheetViews>
  <sheetFormatPr defaultColWidth="8.875" defaultRowHeight="14.25"/>
  <cols>
    <col min="1" max="1" width="42" style="1" customWidth="1"/>
    <col min="2" max="6" width="16" style="1" customWidth="1"/>
    <col min="7" max="7" width="20" style="1" customWidth="1"/>
    <col min="8" max="8" width="58" style="1" customWidth="1"/>
    <col min="9" max="16384" width="8.875" style="1"/>
  </cols>
  <sheetData>
    <row r="1" spans="1:8" ht="27.95" customHeight="1">
      <c r="A1" s="130" t="s">
        <v>119</v>
      </c>
      <c r="B1" s="129"/>
      <c r="C1" s="129"/>
      <c r="D1" s="129"/>
      <c r="E1" s="129"/>
      <c r="F1" s="129"/>
      <c r="G1" s="129"/>
      <c r="H1" s="129"/>
    </row>
    <row r="2" spans="1:8" ht="35.1" customHeight="1">
      <c r="A2" s="128" t="s">
        <v>120</v>
      </c>
      <c r="B2" s="129"/>
      <c r="C2" s="129"/>
      <c r="D2" s="129"/>
      <c r="E2" s="129"/>
      <c r="F2" s="129"/>
      <c r="G2" s="129"/>
      <c r="H2" s="129"/>
    </row>
    <row r="3" spans="1:8">
      <c r="A3" s="2"/>
      <c r="B3" s="2"/>
      <c r="C3" s="2"/>
      <c r="D3" s="2"/>
      <c r="E3" s="2"/>
      <c r="F3" s="2"/>
      <c r="G3" s="2"/>
      <c r="H3" s="2"/>
    </row>
    <row r="4" spans="1:8" ht="15">
      <c r="A4" s="7" t="s">
        <v>121</v>
      </c>
      <c r="B4" s="8" t="s">
        <v>122</v>
      </c>
      <c r="C4" s="8" t="s">
        <v>123</v>
      </c>
      <c r="D4" s="8" t="s">
        <v>124</v>
      </c>
      <c r="E4" s="8" t="s">
        <v>125</v>
      </c>
      <c r="F4" s="18"/>
      <c r="G4" s="18"/>
      <c r="H4" s="4"/>
    </row>
    <row r="5" spans="1:8" ht="28.5">
      <c r="A5" s="19" t="s">
        <v>126</v>
      </c>
      <c r="B5" s="20">
        <v>46235</v>
      </c>
      <c r="C5" s="11" t="s">
        <v>127</v>
      </c>
      <c r="D5" s="11" t="s">
        <v>128</v>
      </c>
      <c r="E5" s="11" t="s">
        <v>129</v>
      </c>
      <c r="F5" s="11"/>
      <c r="G5" s="11"/>
      <c r="H5" s="6"/>
    </row>
    <row r="6" spans="1:8" ht="41.25" customHeight="1">
      <c r="A6" s="19" t="s">
        <v>130</v>
      </c>
      <c r="B6" s="21">
        <v>60</v>
      </c>
      <c r="C6" s="11" t="s">
        <v>131</v>
      </c>
      <c r="D6" s="11" t="s">
        <v>132</v>
      </c>
      <c r="E6" s="11" t="s">
        <v>129</v>
      </c>
      <c r="F6" s="11"/>
      <c r="G6" s="11"/>
      <c r="H6" s="6"/>
    </row>
    <row r="7" spans="1:8" ht="54.75" customHeight="1">
      <c r="A7" s="19" t="s">
        <v>133</v>
      </c>
      <c r="B7" s="21">
        <v>13</v>
      </c>
      <c r="C7" s="11" t="s">
        <v>134</v>
      </c>
      <c r="D7" s="11" t="s">
        <v>135</v>
      </c>
      <c r="E7" s="11" t="s">
        <v>129</v>
      </c>
      <c r="F7" s="11"/>
      <c r="G7" s="11"/>
      <c r="H7" s="6"/>
    </row>
    <row r="8" spans="1:8" ht="41.25" customHeight="1">
      <c r="A8" s="19" t="s">
        <v>136</v>
      </c>
      <c r="B8" s="22">
        <v>0.15</v>
      </c>
      <c r="C8" s="11" t="s">
        <v>137</v>
      </c>
      <c r="D8" s="11" t="s">
        <v>138</v>
      </c>
      <c r="E8" s="11" t="s">
        <v>129</v>
      </c>
      <c r="F8" s="11"/>
      <c r="G8" s="11"/>
      <c r="H8" s="6"/>
    </row>
    <row r="9" spans="1:8" ht="41.25" customHeight="1">
      <c r="A9" s="19" t="s">
        <v>139</v>
      </c>
      <c r="B9" s="22">
        <v>1320</v>
      </c>
      <c r="C9" s="11" t="s">
        <v>140</v>
      </c>
      <c r="D9" s="11" t="s">
        <v>141</v>
      </c>
      <c r="E9" s="11" t="s">
        <v>142</v>
      </c>
      <c r="F9" s="11"/>
      <c r="G9" s="11"/>
      <c r="H9" s="6"/>
    </row>
    <row r="10" spans="1:8" ht="94.5" customHeight="1">
      <c r="A10" s="19" t="s">
        <v>143</v>
      </c>
      <c r="B10" s="22">
        <v>0.18</v>
      </c>
      <c r="C10" s="11" t="s">
        <v>144</v>
      </c>
      <c r="D10" s="11" t="s">
        <v>145</v>
      </c>
      <c r="E10" s="11" t="s">
        <v>142</v>
      </c>
      <c r="F10" s="11"/>
      <c r="G10" s="11"/>
      <c r="H10" s="6"/>
    </row>
    <row r="11" spans="1:8" ht="41.25" customHeight="1">
      <c r="A11" s="19" t="s">
        <v>146</v>
      </c>
      <c r="B11" s="22">
        <v>0.125</v>
      </c>
      <c r="C11" s="11" t="s">
        <v>137</v>
      </c>
      <c r="D11" s="11" t="s">
        <v>147</v>
      </c>
      <c r="E11" s="11" t="s">
        <v>142</v>
      </c>
      <c r="F11" s="11"/>
      <c r="G11" s="11"/>
      <c r="H11" s="6"/>
    </row>
    <row r="12" spans="1:8" ht="27.75" customHeight="1">
      <c r="A12" s="19" t="s">
        <v>148</v>
      </c>
      <c r="B12" s="22">
        <v>0.25</v>
      </c>
      <c r="C12" s="11" t="s">
        <v>137</v>
      </c>
      <c r="D12" s="11" t="s">
        <v>149</v>
      </c>
      <c r="E12" s="11" t="s">
        <v>129</v>
      </c>
      <c r="F12" s="11"/>
      <c r="G12" s="11"/>
      <c r="H12" s="6"/>
    </row>
    <row r="13" spans="1:8" ht="41.25" customHeight="1">
      <c r="A13" s="19" t="s">
        <v>150</v>
      </c>
      <c r="B13" s="22">
        <v>1.2</v>
      </c>
      <c r="C13" s="11" t="s">
        <v>137</v>
      </c>
      <c r="D13" s="11" t="s">
        <v>151</v>
      </c>
      <c r="E13" s="11" t="s">
        <v>129</v>
      </c>
      <c r="F13" s="11"/>
      <c r="G13" s="11"/>
      <c r="H13" s="6"/>
    </row>
    <row r="14" spans="1:8">
      <c r="A14" s="19" t="s">
        <v>152</v>
      </c>
      <c r="B14" s="22">
        <v>1.1000000000000001</v>
      </c>
      <c r="C14" s="11" t="s">
        <v>137</v>
      </c>
      <c r="D14" s="11" t="s">
        <v>153</v>
      </c>
      <c r="E14" s="11" t="s">
        <v>129</v>
      </c>
      <c r="F14" s="11"/>
      <c r="G14" s="11"/>
      <c r="H14" s="6"/>
    </row>
    <row r="15" spans="1:8" ht="135" customHeight="1">
      <c r="A15" s="19" t="s">
        <v>154</v>
      </c>
      <c r="B15" s="22">
        <v>1</v>
      </c>
      <c r="C15" s="11" t="s">
        <v>155</v>
      </c>
      <c r="D15" s="11" t="s">
        <v>156</v>
      </c>
      <c r="E15" s="11" t="s">
        <v>142</v>
      </c>
      <c r="F15" s="11"/>
      <c r="G15" s="11"/>
      <c r="H15" s="6"/>
    </row>
    <row r="16" spans="1:8" ht="94.5" customHeight="1">
      <c r="A16" s="19" t="s">
        <v>157</v>
      </c>
      <c r="B16" s="21">
        <v>1E-3</v>
      </c>
      <c r="C16" s="11" t="s">
        <v>158</v>
      </c>
      <c r="D16" s="11" t="s">
        <v>159</v>
      </c>
      <c r="E16" s="11" t="s">
        <v>142</v>
      </c>
      <c r="F16" s="11"/>
      <c r="G16" s="11"/>
      <c r="H16" s="6"/>
    </row>
    <row r="17" spans="1:8" ht="54.75" customHeight="1">
      <c r="A17" s="19" t="s">
        <v>160</v>
      </c>
      <c r="B17" s="23">
        <v>40000000</v>
      </c>
      <c r="C17" s="11" t="s">
        <v>161</v>
      </c>
      <c r="D17" s="11" t="s">
        <v>162</v>
      </c>
      <c r="E17" s="11" t="s">
        <v>129</v>
      </c>
      <c r="F17" s="11"/>
      <c r="G17" s="11"/>
      <c r="H17" s="6"/>
    </row>
    <row r="18" spans="1:8" ht="68.25" customHeight="1">
      <c r="A18" s="19" t="s">
        <v>163</v>
      </c>
      <c r="B18" s="24">
        <v>60</v>
      </c>
      <c r="C18" s="11" t="s">
        <v>131</v>
      </c>
      <c r="D18" s="11" t="s">
        <v>164</v>
      </c>
      <c r="E18" s="11" t="s">
        <v>129</v>
      </c>
      <c r="F18" s="11"/>
      <c r="G18" s="11"/>
      <c r="H18" s="6"/>
    </row>
    <row r="19" spans="1:8" ht="54.75" customHeight="1">
      <c r="A19" s="19" t="s">
        <v>165</v>
      </c>
      <c r="B19" s="22">
        <v>0.75</v>
      </c>
      <c r="C19" s="11" t="s">
        <v>137</v>
      </c>
      <c r="D19" s="11" t="s">
        <v>166</v>
      </c>
      <c r="E19" s="11" t="s">
        <v>129</v>
      </c>
      <c r="F19" s="11"/>
      <c r="G19" s="11"/>
      <c r="H19" s="6"/>
    </row>
    <row r="20" spans="1:8" ht="28.5">
      <c r="A20" s="19" t="s">
        <v>167</v>
      </c>
      <c r="B20" s="22">
        <v>1</v>
      </c>
      <c r="C20" s="11" t="s">
        <v>137</v>
      </c>
      <c r="D20" s="11" t="s">
        <v>168</v>
      </c>
      <c r="E20" s="11" t="s">
        <v>129</v>
      </c>
      <c r="F20" s="11"/>
      <c r="G20" s="11"/>
      <c r="H20" s="6"/>
    </row>
    <row r="21" spans="1:8" ht="27.75" customHeight="1">
      <c r="A21" s="19" t="s">
        <v>169</v>
      </c>
      <c r="B21" s="22">
        <v>0.2</v>
      </c>
      <c r="C21" s="11" t="s">
        <v>144</v>
      </c>
      <c r="D21" s="11" t="s">
        <v>170</v>
      </c>
      <c r="E21" s="11" t="s">
        <v>129</v>
      </c>
      <c r="F21" s="11"/>
      <c r="G21" s="11"/>
      <c r="H21" s="6"/>
    </row>
    <row r="22" spans="1:8" ht="27.75" customHeight="1">
      <c r="A22" s="19" t="s">
        <v>171</v>
      </c>
      <c r="B22" s="22">
        <v>0.15</v>
      </c>
      <c r="C22" s="11" t="s">
        <v>137</v>
      </c>
      <c r="D22" s="11" t="s">
        <v>172</v>
      </c>
      <c r="E22" s="11" t="s">
        <v>129</v>
      </c>
      <c r="F22" s="11"/>
      <c r="G22" s="11"/>
      <c r="H22" s="6"/>
    </row>
    <row r="23" spans="1:8" ht="27.75" customHeight="1">
      <c r="A23" s="19" t="s">
        <v>173</v>
      </c>
      <c r="B23" s="22">
        <v>0.5</v>
      </c>
      <c r="C23" s="11" t="s">
        <v>137</v>
      </c>
      <c r="D23" s="11" t="s">
        <v>174</v>
      </c>
      <c r="E23" s="11" t="s">
        <v>129</v>
      </c>
      <c r="F23" s="11"/>
      <c r="G23" s="11"/>
      <c r="H23" s="6"/>
    </row>
    <row r="24" spans="1:8" ht="27.75" customHeight="1">
      <c r="A24" s="19" t="s">
        <v>175</v>
      </c>
      <c r="B24" s="22">
        <v>0.85</v>
      </c>
      <c r="C24" s="11" t="s">
        <v>137</v>
      </c>
      <c r="D24" s="11" t="s">
        <v>174</v>
      </c>
      <c r="E24" s="11" t="s">
        <v>129</v>
      </c>
      <c r="F24" s="11"/>
      <c r="G24" s="11"/>
      <c r="H24" s="6"/>
    </row>
    <row r="25" spans="1:8" ht="27.75" customHeight="1">
      <c r="A25" s="19" t="s">
        <v>176</v>
      </c>
      <c r="B25" s="22">
        <v>1</v>
      </c>
      <c r="C25" s="11" t="s">
        <v>137</v>
      </c>
      <c r="D25" s="11" t="s">
        <v>174</v>
      </c>
      <c r="E25" s="11" t="s">
        <v>129</v>
      </c>
      <c r="F25" s="11"/>
      <c r="G25" s="11"/>
      <c r="H25" s="6"/>
    </row>
    <row r="26" spans="1:8">
      <c r="A26" s="19"/>
      <c r="B26" s="11"/>
      <c r="C26" s="11"/>
      <c r="D26" s="11"/>
      <c r="E26" s="11"/>
      <c r="F26" s="11"/>
      <c r="G26" s="11"/>
      <c r="H26" s="6"/>
    </row>
    <row r="27" spans="1:8">
      <c r="A27" s="19"/>
      <c r="B27" s="11"/>
      <c r="C27" s="11"/>
      <c r="D27" s="11"/>
      <c r="E27" s="11"/>
      <c r="F27" s="11"/>
      <c r="G27" s="11"/>
      <c r="H27" s="6"/>
    </row>
    <row r="28" spans="1:8" ht="15">
      <c r="A28" s="25" t="s">
        <v>177</v>
      </c>
      <c r="B28" s="26" t="s">
        <v>122</v>
      </c>
      <c r="C28" s="26" t="s">
        <v>123</v>
      </c>
      <c r="D28" s="26" t="s">
        <v>124</v>
      </c>
      <c r="E28" s="26" t="s">
        <v>125</v>
      </c>
      <c r="F28" s="11"/>
      <c r="G28" s="11"/>
      <c r="H28" s="6"/>
    </row>
    <row r="29" spans="1:8" ht="41.25" customHeight="1">
      <c r="A29" s="19" t="s">
        <v>178</v>
      </c>
      <c r="B29" s="27">
        <v>46042015</v>
      </c>
      <c r="C29" s="11" t="s">
        <v>179</v>
      </c>
      <c r="D29" s="11" t="s">
        <v>180</v>
      </c>
      <c r="E29" s="11" t="s">
        <v>142</v>
      </c>
      <c r="F29" s="11"/>
      <c r="G29" s="11"/>
      <c r="H29" s="6"/>
    </row>
    <row r="30" spans="1:8" ht="81" customHeight="1">
      <c r="A30" s="19" t="s">
        <v>181</v>
      </c>
      <c r="B30" s="22">
        <v>0.64100000000000001</v>
      </c>
      <c r="C30" s="11" t="s">
        <v>137</v>
      </c>
      <c r="D30" s="11" t="s">
        <v>182</v>
      </c>
      <c r="E30" s="11" t="s">
        <v>183</v>
      </c>
      <c r="F30" s="11"/>
      <c r="G30" s="11"/>
      <c r="H30" s="6"/>
    </row>
    <row r="31" spans="1:8" ht="68.25" customHeight="1">
      <c r="A31" s="19" t="s">
        <v>184</v>
      </c>
      <c r="B31" s="22">
        <v>0.81499999999999995</v>
      </c>
      <c r="C31" s="11" t="s">
        <v>137</v>
      </c>
      <c r="D31" s="11" t="s">
        <v>185</v>
      </c>
      <c r="E31" s="11" t="s">
        <v>142</v>
      </c>
      <c r="F31" s="11"/>
      <c r="G31" s="11"/>
      <c r="H31" s="6"/>
    </row>
    <row r="32" spans="1:8" ht="68.25" customHeight="1">
      <c r="A32" s="19" t="s">
        <v>186</v>
      </c>
      <c r="B32" s="22">
        <v>0.11</v>
      </c>
      <c r="C32" s="11" t="s">
        <v>137</v>
      </c>
      <c r="D32" s="11" t="s">
        <v>187</v>
      </c>
      <c r="E32" s="11" t="s">
        <v>142</v>
      </c>
      <c r="F32" s="11"/>
      <c r="G32" s="11"/>
      <c r="H32" s="6"/>
    </row>
    <row r="33" spans="1:8" ht="54.75" customHeight="1">
      <c r="A33" s="19" t="s">
        <v>188</v>
      </c>
      <c r="B33" s="22">
        <v>0.5</v>
      </c>
      <c r="C33" s="11" t="s">
        <v>137</v>
      </c>
      <c r="D33" s="11" t="s">
        <v>189</v>
      </c>
      <c r="E33" s="11" t="s">
        <v>142</v>
      </c>
      <c r="F33" s="11"/>
      <c r="G33" s="11"/>
      <c r="H33" s="6"/>
    </row>
    <row r="34" spans="1:8" ht="54.75" customHeight="1">
      <c r="A34" s="19" t="s">
        <v>190</v>
      </c>
      <c r="B34" s="22">
        <v>0.85</v>
      </c>
      <c r="C34" s="11" t="s">
        <v>137</v>
      </c>
      <c r="D34" s="11" t="s">
        <v>189</v>
      </c>
      <c r="E34" s="11" t="s">
        <v>142</v>
      </c>
      <c r="F34" s="11"/>
      <c r="G34" s="11"/>
      <c r="H34" s="6"/>
    </row>
    <row r="35" spans="1:8" ht="54.75" customHeight="1">
      <c r="A35" s="19" t="s">
        <v>191</v>
      </c>
      <c r="B35" s="22">
        <v>0.27</v>
      </c>
      <c r="C35" s="11" t="s">
        <v>137</v>
      </c>
      <c r="D35" s="11" t="s">
        <v>192</v>
      </c>
      <c r="E35" s="11" t="s">
        <v>142</v>
      </c>
      <c r="F35" s="11"/>
      <c r="G35" s="11"/>
      <c r="H35" s="6"/>
    </row>
    <row r="36" spans="1:8" ht="54.75" customHeight="1">
      <c r="A36" s="19" t="s">
        <v>193</v>
      </c>
      <c r="B36" s="22">
        <v>0.95</v>
      </c>
      <c r="C36" s="11" t="s">
        <v>137</v>
      </c>
      <c r="D36" s="11" t="s">
        <v>192</v>
      </c>
      <c r="E36" s="11" t="s">
        <v>142</v>
      </c>
      <c r="F36" s="11"/>
      <c r="G36" s="11"/>
      <c r="H36" s="6"/>
    </row>
    <row r="37" spans="1:8" ht="54.75" customHeight="1">
      <c r="A37" s="19" t="s">
        <v>194</v>
      </c>
      <c r="B37" s="22">
        <v>0.06</v>
      </c>
      <c r="C37" s="11" t="s">
        <v>137</v>
      </c>
      <c r="D37" s="11" t="s">
        <v>192</v>
      </c>
      <c r="E37" s="11" t="s">
        <v>142</v>
      </c>
      <c r="F37" s="11"/>
      <c r="G37" s="11"/>
      <c r="H37" s="6"/>
    </row>
    <row r="38" spans="1:8" ht="54.75" customHeight="1">
      <c r="A38" s="19" t="s">
        <v>195</v>
      </c>
      <c r="B38" s="22">
        <v>0.22</v>
      </c>
      <c r="C38" s="11" t="s">
        <v>137</v>
      </c>
      <c r="D38" s="11" t="s">
        <v>192</v>
      </c>
      <c r="E38" s="11" t="s">
        <v>142</v>
      </c>
      <c r="F38" s="11"/>
      <c r="G38" s="11"/>
      <c r="H38" s="6"/>
    </row>
    <row r="39" spans="1:8" ht="108" customHeight="1">
      <c r="A39" s="19" t="s">
        <v>196</v>
      </c>
      <c r="B39" s="22">
        <v>0.65</v>
      </c>
      <c r="C39" s="11" t="s">
        <v>137</v>
      </c>
      <c r="D39" s="11" t="s">
        <v>197</v>
      </c>
      <c r="E39" s="11" t="s">
        <v>198</v>
      </c>
      <c r="F39" s="11"/>
      <c r="G39" s="11"/>
      <c r="H39" s="6"/>
    </row>
    <row r="40" spans="1:8" ht="54.75" customHeight="1">
      <c r="A40" s="19" t="s">
        <v>199</v>
      </c>
      <c r="B40" s="22">
        <v>2.1000000000000001E-2</v>
      </c>
      <c r="C40" s="11" t="s">
        <v>137</v>
      </c>
      <c r="D40" s="11" t="s">
        <v>200</v>
      </c>
      <c r="E40" s="11" t="s">
        <v>198</v>
      </c>
      <c r="F40" s="11"/>
      <c r="G40" s="11"/>
      <c r="H40" s="6"/>
    </row>
    <row r="41" spans="1:8" ht="27.75" customHeight="1">
      <c r="A41" s="19" t="s">
        <v>201</v>
      </c>
      <c r="B41" s="22">
        <v>279.64</v>
      </c>
      <c r="C41" s="11" t="s">
        <v>202</v>
      </c>
      <c r="D41" s="11" t="s">
        <v>203</v>
      </c>
      <c r="E41" s="11" t="s">
        <v>142</v>
      </c>
      <c r="F41" s="11"/>
      <c r="G41" s="11"/>
      <c r="H41" s="6"/>
    </row>
    <row r="42" spans="1:8" ht="27.75" customHeight="1">
      <c r="A42" s="19" t="s">
        <v>204</v>
      </c>
      <c r="B42" s="27">
        <v>6073.6</v>
      </c>
      <c r="C42" s="11" t="s">
        <v>205</v>
      </c>
      <c r="D42" s="11" t="s">
        <v>203</v>
      </c>
      <c r="E42" s="11" t="s">
        <v>142</v>
      </c>
      <c r="F42" s="11"/>
      <c r="G42" s="11"/>
      <c r="H42" s="6"/>
    </row>
    <row r="43" spans="1:8" ht="41.25" customHeight="1">
      <c r="A43" s="19" t="s">
        <v>206</v>
      </c>
      <c r="B43" s="27">
        <v>118561</v>
      </c>
      <c r="C43" s="11" t="s">
        <v>207</v>
      </c>
      <c r="D43" s="11" t="s">
        <v>208</v>
      </c>
      <c r="E43" s="11" t="s">
        <v>142</v>
      </c>
      <c r="F43" s="11"/>
      <c r="G43" s="11"/>
      <c r="H43" s="6"/>
    </row>
    <row r="44" spans="1:8" ht="41.25" customHeight="1">
      <c r="A44" s="19" t="s">
        <v>209</v>
      </c>
      <c r="B44" s="27">
        <v>15267</v>
      </c>
      <c r="C44" s="11" t="s">
        <v>207</v>
      </c>
      <c r="D44" s="11" t="s">
        <v>208</v>
      </c>
      <c r="E44" s="11" t="s">
        <v>142</v>
      </c>
      <c r="F44" s="11"/>
      <c r="G44" s="11"/>
      <c r="H44" s="6"/>
    </row>
    <row r="45" spans="1:8" ht="41.25" customHeight="1">
      <c r="A45" s="19" t="s">
        <v>210</v>
      </c>
      <c r="B45" s="22">
        <v>5.5E-2</v>
      </c>
      <c r="C45" s="11" t="s">
        <v>137</v>
      </c>
      <c r="D45" s="11" t="s">
        <v>208</v>
      </c>
      <c r="E45" s="11" t="s">
        <v>142</v>
      </c>
      <c r="F45" s="11"/>
      <c r="G45" s="11"/>
      <c r="H45" s="6"/>
    </row>
    <row r="46" spans="1:8" ht="54.75" customHeight="1">
      <c r="A46" s="19" t="s">
        <v>211</v>
      </c>
      <c r="B46" s="22">
        <v>4.4999999999999998E-2</v>
      </c>
      <c r="C46" s="11" t="s">
        <v>137</v>
      </c>
      <c r="D46" s="11" t="s">
        <v>212</v>
      </c>
      <c r="E46" s="11" t="s">
        <v>198</v>
      </c>
      <c r="F46" s="11"/>
      <c r="G46" s="11"/>
      <c r="H46" s="6"/>
    </row>
    <row r="47" spans="1:8">
      <c r="A47" s="19"/>
      <c r="B47" s="11"/>
      <c r="C47" s="11"/>
      <c r="D47" s="11"/>
      <c r="E47" s="11"/>
      <c r="F47" s="11"/>
      <c r="G47" s="11"/>
      <c r="H47" s="6"/>
    </row>
    <row r="48" spans="1:8">
      <c r="A48" s="19"/>
      <c r="B48" s="11"/>
      <c r="C48" s="11"/>
      <c r="D48" s="11"/>
      <c r="E48" s="11"/>
      <c r="F48" s="11"/>
      <c r="G48" s="11"/>
      <c r="H48" s="6"/>
    </row>
    <row r="49" spans="1:8">
      <c r="A49" s="19"/>
      <c r="B49" s="11"/>
      <c r="C49" s="11"/>
      <c r="D49" s="11"/>
      <c r="E49" s="11"/>
      <c r="F49" s="11"/>
      <c r="G49" s="11"/>
      <c r="H49" s="6"/>
    </row>
    <row r="50" spans="1:8" ht="15">
      <c r="A50" s="25" t="s">
        <v>213</v>
      </c>
      <c r="B50" s="26" t="s">
        <v>214</v>
      </c>
      <c r="C50" s="26" t="s">
        <v>215</v>
      </c>
      <c r="D50" s="26" t="s">
        <v>216</v>
      </c>
      <c r="E50" s="26" t="s">
        <v>124</v>
      </c>
      <c r="F50" s="11"/>
      <c r="G50" s="11"/>
      <c r="H50" s="6"/>
    </row>
    <row r="51" spans="1:8" ht="81" customHeight="1">
      <c r="A51" s="19" t="s">
        <v>217</v>
      </c>
      <c r="B51" s="24">
        <v>30000000000</v>
      </c>
      <c r="C51" s="11">
        <v>1</v>
      </c>
      <c r="D51" s="28">
        <v>46235</v>
      </c>
      <c r="E51" s="11" t="s">
        <v>218</v>
      </c>
      <c r="F51" s="11"/>
      <c r="G51" s="11"/>
      <c r="H51" s="6"/>
    </row>
    <row r="52" spans="1:8" ht="54.75" customHeight="1">
      <c r="A52" s="19" t="s">
        <v>219</v>
      </c>
      <c r="B52" s="24">
        <v>35000000000</v>
      </c>
      <c r="C52" s="11">
        <v>13</v>
      </c>
      <c r="D52" s="28">
        <v>46600</v>
      </c>
      <c r="E52" s="11" t="s">
        <v>220</v>
      </c>
      <c r="F52" s="11"/>
      <c r="G52" s="11"/>
      <c r="H52" s="6"/>
    </row>
    <row r="53" spans="1:8" ht="54.75" customHeight="1">
      <c r="A53" s="19" t="s">
        <v>221</v>
      </c>
      <c r="B53" s="24">
        <v>35000000000</v>
      </c>
      <c r="C53" s="11">
        <v>25</v>
      </c>
      <c r="D53" s="28">
        <v>46966</v>
      </c>
      <c r="E53" s="11" t="s">
        <v>222</v>
      </c>
      <c r="F53" s="11"/>
      <c r="G53" s="11"/>
      <c r="H53" s="6"/>
    </row>
    <row r="54" spans="1:8">
      <c r="A54" s="19"/>
      <c r="B54" s="11"/>
      <c r="C54" s="11"/>
      <c r="D54" s="11"/>
      <c r="E54" s="11"/>
      <c r="F54" s="11"/>
      <c r="G54" s="11"/>
      <c r="H54" s="6"/>
    </row>
    <row r="55" spans="1:8">
      <c r="A55" s="19"/>
      <c r="B55" s="11"/>
      <c r="C55" s="11"/>
      <c r="D55" s="11"/>
      <c r="E55" s="11"/>
      <c r="F55" s="11"/>
      <c r="G55" s="11"/>
      <c r="H55" s="6"/>
    </row>
    <row r="56" spans="1:8" ht="41.25" customHeight="1">
      <c r="A56" s="25" t="s">
        <v>223</v>
      </c>
      <c r="B56" s="26" t="s">
        <v>224</v>
      </c>
      <c r="C56" s="26" t="s">
        <v>225</v>
      </c>
      <c r="D56" s="26" t="s">
        <v>226</v>
      </c>
      <c r="E56" s="26" t="s">
        <v>227</v>
      </c>
      <c r="F56" s="26" t="s">
        <v>228</v>
      </c>
      <c r="G56" s="26" t="s">
        <v>123</v>
      </c>
      <c r="H56" s="29" t="s">
        <v>124</v>
      </c>
    </row>
    <row r="57" spans="1:8">
      <c r="A57" s="19" t="s">
        <v>229</v>
      </c>
      <c r="B57" s="27">
        <v>60000</v>
      </c>
      <c r="C57" s="27">
        <v>95000</v>
      </c>
      <c r="D57" s="27">
        <v>140000</v>
      </c>
      <c r="E57" s="27">
        <v>200000</v>
      </c>
      <c r="F57" s="27">
        <v>260000</v>
      </c>
      <c r="G57" s="11" t="s">
        <v>230</v>
      </c>
      <c r="H57" s="6" t="s">
        <v>231</v>
      </c>
    </row>
    <row r="58" spans="1:8">
      <c r="A58" s="19" t="s">
        <v>232</v>
      </c>
      <c r="B58" s="27">
        <v>5240</v>
      </c>
      <c r="C58" s="27">
        <v>5397</v>
      </c>
      <c r="D58" s="27">
        <v>5559</v>
      </c>
      <c r="E58" s="27">
        <v>5726</v>
      </c>
      <c r="F58" s="27">
        <v>5898</v>
      </c>
      <c r="G58" s="11" t="s">
        <v>233</v>
      </c>
      <c r="H58" s="6" t="s">
        <v>234</v>
      </c>
    </row>
    <row r="59" spans="1:8" ht="27.75" customHeight="1">
      <c r="A59" s="19" t="s">
        <v>235</v>
      </c>
      <c r="B59" s="27">
        <v>800000</v>
      </c>
      <c r="C59" s="27">
        <v>900000</v>
      </c>
      <c r="D59" s="27">
        <v>1000000</v>
      </c>
      <c r="E59" s="27">
        <v>1100000</v>
      </c>
      <c r="F59" s="27">
        <v>1200000</v>
      </c>
      <c r="G59" s="11" t="s">
        <v>236</v>
      </c>
      <c r="H59" s="6" t="s">
        <v>237</v>
      </c>
    </row>
    <row r="60" spans="1:8" ht="27.75" customHeight="1">
      <c r="A60" s="19" t="s">
        <v>238</v>
      </c>
      <c r="B60" s="22">
        <v>0</v>
      </c>
      <c r="C60" s="22">
        <v>0.12</v>
      </c>
      <c r="D60" s="22">
        <v>0.25</v>
      </c>
      <c r="E60" s="22">
        <v>0.35</v>
      </c>
      <c r="F60" s="22">
        <v>0.4</v>
      </c>
      <c r="G60" s="11" t="s">
        <v>137</v>
      </c>
      <c r="H60" s="6" t="s">
        <v>239</v>
      </c>
    </row>
    <row r="61" spans="1:8">
      <c r="A61" s="19" t="s">
        <v>240</v>
      </c>
      <c r="B61" s="22">
        <v>0</v>
      </c>
      <c r="C61" s="22">
        <v>0.14000000000000001</v>
      </c>
      <c r="D61" s="22">
        <v>0.14499999999999999</v>
      </c>
      <c r="E61" s="22">
        <v>0.15</v>
      </c>
      <c r="F61" s="22">
        <v>0.15</v>
      </c>
      <c r="G61" s="11" t="s">
        <v>241</v>
      </c>
      <c r="H61" s="6" t="s">
        <v>242</v>
      </c>
    </row>
    <row r="62" spans="1:8">
      <c r="A62" s="19" t="s">
        <v>243</v>
      </c>
      <c r="B62" s="22">
        <v>0</v>
      </c>
      <c r="C62" s="22">
        <v>1.4999999999999999E-2</v>
      </c>
      <c r="D62" s="22">
        <v>1.7999999999999999E-2</v>
      </c>
      <c r="E62" s="22">
        <v>0.02</v>
      </c>
      <c r="F62" s="22">
        <v>2.1999999999999999E-2</v>
      </c>
      <c r="G62" s="11" t="s">
        <v>244</v>
      </c>
      <c r="H62" s="6" t="s">
        <v>245</v>
      </c>
    </row>
    <row r="63" spans="1:8" ht="28.5">
      <c r="A63" s="19" t="s">
        <v>246</v>
      </c>
      <c r="B63" s="22">
        <v>1.2E-2</v>
      </c>
      <c r="C63" s="22">
        <v>1.4999999999999999E-2</v>
      </c>
      <c r="D63" s="22">
        <v>0.02</v>
      </c>
      <c r="E63" s="22">
        <v>2.5000000000000001E-2</v>
      </c>
      <c r="F63" s="22">
        <v>0.03</v>
      </c>
      <c r="G63" s="11" t="s">
        <v>241</v>
      </c>
      <c r="H63" s="6" t="s">
        <v>247</v>
      </c>
    </row>
    <row r="64" spans="1:8">
      <c r="A64" s="19" t="s">
        <v>248</v>
      </c>
      <c r="B64" s="22">
        <v>0.35</v>
      </c>
      <c r="C64" s="22">
        <v>0.4</v>
      </c>
      <c r="D64" s="22">
        <v>0.45</v>
      </c>
      <c r="E64" s="22">
        <v>0.5</v>
      </c>
      <c r="F64" s="22">
        <v>0.55000000000000004</v>
      </c>
      <c r="G64" s="11" t="s">
        <v>137</v>
      </c>
      <c r="H64" s="6" t="s">
        <v>249</v>
      </c>
    </row>
    <row r="65" spans="1:8" ht="27.75" customHeight="1">
      <c r="A65" s="19" t="s">
        <v>250</v>
      </c>
      <c r="B65" s="27">
        <f>CBI_Readiness_Costs!B16</f>
        <v>9.7096</v>
      </c>
      <c r="C65" s="27">
        <f>CBI_Readiness_Costs!C16</f>
        <v>11.357099999999997</v>
      </c>
      <c r="D65" s="27">
        <f>CBI_Readiness_Costs!D16</f>
        <v>12.848000000000003</v>
      </c>
      <c r="E65" s="27">
        <f>CBI_Readiness_Costs!E16</f>
        <v>14.423999999999999</v>
      </c>
      <c r="F65" s="27">
        <f>CBI_Readiness_Costs!F16</f>
        <v>16.092400000000001</v>
      </c>
      <c r="G65" s="11" t="s">
        <v>251</v>
      </c>
      <c r="H65" s="6" t="s">
        <v>252</v>
      </c>
    </row>
    <row r="66" spans="1:8">
      <c r="A66" s="19" t="s">
        <v>253</v>
      </c>
      <c r="B66" s="27">
        <v>900</v>
      </c>
      <c r="C66" s="27">
        <v>950</v>
      </c>
      <c r="D66" s="27">
        <v>1000</v>
      </c>
      <c r="E66" s="27">
        <v>1050</v>
      </c>
      <c r="F66" s="27">
        <v>1100</v>
      </c>
      <c r="G66" s="11" t="s">
        <v>233</v>
      </c>
      <c r="H66" s="6" t="s">
        <v>254</v>
      </c>
    </row>
    <row r="67" spans="1:8" ht="27" customHeight="1">
      <c r="A67" s="19" t="s">
        <v>255</v>
      </c>
      <c r="B67" s="27">
        <v>15000</v>
      </c>
      <c r="C67" s="27">
        <v>14000</v>
      </c>
      <c r="D67" s="27">
        <v>13000</v>
      </c>
      <c r="E67" s="27">
        <v>12000</v>
      </c>
      <c r="F67" s="27">
        <v>11000</v>
      </c>
      <c r="G67" s="11" t="s">
        <v>256</v>
      </c>
      <c r="H67" s="6" t="s">
        <v>257</v>
      </c>
    </row>
    <row r="68" spans="1:8" ht="27.75" customHeight="1">
      <c r="A68" s="19" t="s">
        <v>258</v>
      </c>
      <c r="B68" s="27">
        <f>CBI_Readiness_Costs!B27</f>
        <v>31.5</v>
      </c>
      <c r="C68" s="27">
        <f>CBI_Readiness_Costs!C27</f>
        <v>13.9</v>
      </c>
      <c r="D68" s="27">
        <f>CBI_Readiness_Costs!D27</f>
        <v>8.5</v>
      </c>
      <c r="E68" s="27">
        <f>CBI_Readiness_Costs!E27</f>
        <v>7.1999999999999993</v>
      </c>
      <c r="F68" s="27">
        <f>CBI_Readiness_Costs!F27</f>
        <v>7.1999999999999993</v>
      </c>
      <c r="G68" s="11" t="s">
        <v>251</v>
      </c>
      <c r="H68" s="6" t="s">
        <v>259</v>
      </c>
    </row>
    <row r="69" spans="1:8" ht="27.75" customHeight="1">
      <c r="A69" s="30" t="s">
        <v>260</v>
      </c>
      <c r="B69" s="31">
        <v>4.4999999999999998E-2</v>
      </c>
      <c r="C69" s="31">
        <v>4.8000000000000001E-2</v>
      </c>
      <c r="D69" s="31">
        <v>0.05</v>
      </c>
      <c r="E69" s="31">
        <v>5.1999999999999998E-2</v>
      </c>
      <c r="F69" s="31">
        <v>5.2999999999999999E-2</v>
      </c>
      <c r="G69" s="14" t="s">
        <v>241</v>
      </c>
      <c r="H69" s="32" t="s">
        <v>261</v>
      </c>
    </row>
  </sheetData>
  <mergeCells count="2">
    <mergeCell ref="A2:H2"/>
    <mergeCell ref="A1:H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4"/>
  <sheetViews>
    <sheetView tabSelected="1" topLeftCell="A7" workbookViewId="0">
      <selection activeCell="C11" sqref="C11"/>
    </sheetView>
  </sheetViews>
  <sheetFormatPr defaultColWidth="8.875" defaultRowHeight="14.25"/>
  <cols>
    <col min="1" max="1" width="40" style="1" customWidth="1"/>
    <col min="2" max="6" width="16" style="1" customWidth="1"/>
    <col min="7" max="16384" width="8.875" style="1"/>
  </cols>
  <sheetData>
    <row r="1" spans="1:7" ht="27.95" customHeight="1">
      <c r="A1" s="130" t="s">
        <v>262</v>
      </c>
      <c r="B1" s="129"/>
      <c r="C1" s="129"/>
      <c r="D1" s="129"/>
      <c r="E1" s="129"/>
      <c r="F1" s="129"/>
      <c r="G1" s="129"/>
    </row>
    <row r="2" spans="1:7" ht="35.1" customHeight="1">
      <c r="A2" s="128" t="s">
        <v>263</v>
      </c>
      <c r="B2" s="129"/>
      <c r="C2" s="129"/>
      <c r="D2" s="129"/>
      <c r="E2" s="129"/>
      <c r="F2" s="129"/>
      <c r="G2" s="129"/>
    </row>
    <row r="3" spans="1:7" ht="15">
      <c r="A3" s="33" t="s">
        <v>264</v>
      </c>
      <c r="B3" s="34">
        <v>2027</v>
      </c>
      <c r="C3" s="34">
        <v>2028</v>
      </c>
      <c r="D3" s="34">
        <v>2029</v>
      </c>
      <c r="E3" s="34">
        <v>2030</v>
      </c>
      <c r="F3" s="35">
        <v>2031</v>
      </c>
    </row>
    <row r="4" spans="1:7" ht="15">
      <c r="A4" s="36" t="s">
        <v>265</v>
      </c>
      <c r="B4" s="37">
        <f>Assumptions!$B$29*(1+Assumptions!$B$40)^(B$3-2024)</f>
        <v>49004001.9259459</v>
      </c>
      <c r="C4" s="37">
        <f>Assumptions!$B$29*(1+Assumptions!$B$40)^(C$3-2024)</f>
        <v>50033085.966390751</v>
      </c>
      <c r="D4" s="37">
        <f>Assumptions!$B$29*(1+Assumptions!$B$40)^(D$3-2024)</f>
        <v>51083780.771684952</v>
      </c>
      <c r="E4" s="37">
        <f>Assumptions!$B$29*(1+Assumptions!$B$40)^(E$3-2024)</f>
        <v>52156540.167890333</v>
      </c>
      <c r="F4" s="38">
        <f>Assumptions!$B$29*(1+Assumptions!$B$40)^(F$3-2024)</f>
        <v>53251827.511416025</v>
      </c>
    </row>
    <row r="5" spans="1:7" ht="15">
      <c r="A5" s="36" t="s">
        <v>266</v>
      </c>
      <c r="B5" s="37">
        <f>B4*Assumptions!$B$30</f>
        <v>31411565.234531324</v>
      </c>
      <c r="C5" s="37">
        <f>C4*Assumptions!$B$30</f>
        <v>32071208.104456473</v>
      </c>
      <c r="D5" s="37">
        <f>D4*Assumptions!$B$30</f>
        <v>32744703.474650055</v>
      </c>
      <c r="E5" s="37">
        <f>E4*Assumptions!$B$30</f>
        <v>33432342.247617703</v>
      </c>
      <c r="F5" s="38">
        <f>F4*Assumptions!$B$30</f>
        <v>34134421.434817672</v>
      </c>
    </row>
    <row r="6" spans="1:7" ht="15">
      <c r="A6" s="36" t="s">
        <v>267</v>
      </c>
      <c r="B6" s="37">
        <f>B5*Assumptions!$B$31</f>
        <v>25600425.666143026</v>
      </c>
      <c r="C6" s="37">
        <f>C5*Assumptions!$B$31</f>
        <v>26138034.605132025</v>
      </c>
      <c r="D6" s="37">
        <f>D5*Assumptions!$B$31</f>
        <v>26686933.331839792</v>
      </c>
      <c r="E6" s="37">
        <f>E5*Assumptions!$B$31</f>
        <v>27247358.931808427</v>
      </c>
      <c r="F6" s="38">
        <f>F5*Assumptions!$B$31</f>
        <v>27819553.4693764</v>
      </c>
    </row>
    <row r="7" spans="1:7" ht="15">
      <c r="A7" s="36" t="s">
        <v>268</v>
      </c>
      <c r="B7" s="39">
        <f>MIN(0.52,Assumptions!$B$32+(Assumptions!$B$33-Assumptions!$B$32)*(B$3-2024)/(2030-2024))</f>
        <v>0.30499999999999999</v>
      </c>
      <c r="C7" s="39">
        <f>MIN(0.52,Assumptions!$B$32+(Assumptions!$B$33-Assumptions!$B$32)*(C$3-2024)/(2030-2024))</f>
        <v>0.37</v>
      </c>
      <c r="D7" s="39">
        <f>MIN(0.52,Assumptions!$B$32+(Assumptions!$B$33-Assumptions!$B$32)*(D$3-2024)/(2030-2024))</f>
        <v>0.435</v>
      </c>
      <c r="E7" s="39">
        <f>MIN(0.52,Assumptions!$B$32+(Assumptions!$B$33-Assumptions!$B$32)*(E$3-2024)/(2030-2024))</f>
        <v>0.49999999999999994</v>
      </c>
      <c r="F7" s="40">
        <f>MIN(0.52,Assumptions!$B$32+(Assumptions!$B$33-Assumptions!$B$32)*(F$3-2024)/(2030-2024))</f>
        <v>0.52</v>
      </c>
    </row>
    <row r="8" spans="1:7" ht="15">
      <c r="A8" s="36" t="s">
        <v>186</v>
      </c>
      <c r="B8" s="39">
        <f>Assumptions!$B$32</f>
        <v>0.11</v>
      </c>
      <c r="C8" s="39">
        <f>Assumptions!$B$32</f>
        <v>0.11</v>
      </c>
      <c r="D8" s="39">
        <f>Assumptions!$B$32</f>
        <v>0.11</v>
      </c>
      <c r="E8" s="39">
        <f>Assumptions!$B$32</f>
        <v>0.11</v>
      </c>
      <c r="F8" s="40">
        <f>Assumptions!$B$32</f>
        <v>0.11</v>
      </c>
    </row>
    <row r="9" spans="1:7" ht="15">
      <c r="A9" s="36" t="s">
        <v>269</v>
      </c>
      <c r="B9" s="37">
        <f>B5*MAX(0,B7-B8)</f>
        <v>6125255.2207336081</v>
      </c>
      <c r="C9" s="37">
        <f>C5*MAX(0,C7-C8)</f>
        <v>8338514.1071586832</v>
      </c>
      <c r="D9" s="37">
        <f>D5*MAX(0,D7-D8)</f>
        <v>10642028.629261268</v>
      </c>
      <c r="E9" s="37">
        <f>E5*MAX(0,E7-E8)</f>
        <v>13038613.476570902</v>
      </c>
      <c r="F9" s="38">
        <f>F5*MAX(0,F7-F8)</f>
        <v>13995112.788275246</v>
      </c>
    </row>
    <row r="10" spans="1:7" ht="15">
      <c r="A10" s="36" t="s">
        <v>270</v>
      </c>
      <c r="B10" s="37">
        <f>B9*Assumptions!$B$31*Assumptions!$B$39</f>
        <v>3244853.9531836291</v>
      </c>
      <c r="C10" s="37">
        <f>C9*Assumptions!$B$31*Assumptions!$B$39</f>
        <v>4417327.8482673122</v>
      </c>
      <c r="D10" s="37">
        <f>D9*Assumptions!$B$31*Assumptions!$B$39</f>
        <v>5637614.6663511563</v>
      </c>
      <c r="E10" s="37">
        <f>E9*Assumptions!$B$31*Assumptions!$B$39</f>
        <v>6907205.489213435</v>
      </c>
      <c r="F10" s="38">
        <f>F9*Assumptions!$B$31*Assumptions!$B$39</f>
        <v>7413910.9995888118</v>
      </c>
    </row>
    <row r="11" spans="1:7" ht="15">
      <c r="A11" s="36" t="s">
        <v>271</v>
      </c>
      <c r="B11" s="37">
        <f>INDEX(Assumptions!$B$57:$F$57,1,1)</f>
        <v>60000</v>
      </c>
      <c r="C11" s="37">
        <f>INDEX(Assumptions!$B$57:$F$57,1,2)</f>
        <v>95000</v>
      </c>
      <c r="D11" s="37">
        <f>INDEX(Assumptions!$B$57:$F$57,1,3)</f>
        <v>140000</v>
      </c>
      <c r="E11" s="37">
        <f>INDEX(Assumptions!$B$57:$F$57,1,4)</f>
        <v>200000</v>
      </c>
      <c r="F11" s="38">
        <f>INDEX(Assumptions!$B$57:$F$57,1,5)</f>
        <v>260000</v>
      </c>
    </row>
    <row r="12" spans="1:7" ht="15">
      <c r="A12" s="36" t="s">
        <v>272</v>
      </c>
      <c r="B12" s="39">
        <f>IF(B10&gt;0,B11/B10,0)</f>
        <v>1.8490816802750738E-2</v>
      </c>
      <c r="C12" s="39">
        <f>IF(C10&gt;0,C11/C10,0)</f>
        <v>2.1506214449820281E-2</v>
      </c>
      <c r="D12" s="39">
        <f>IF(D10&gt;0,D11/D10,0)</f>
        <v>2.4833197776997492E-2</v>
      </c>
      <c r="E12" s="39">
        <f>IF(E10&gt;0,E11/E10,0)</f>
        <v>2.8955270016554149E-2</v>
      </c>
      <c r="F12" s="40">
        <f>IF(F10&gt;0,F11/F10,0)</f>
        <v>3.5069209761813977E-2</v>
      </c>
    </row>
    <row r="13" spans="1:7" ht="15">
      <c r="A13" s="36" t="s">
        <v>273</v>
      </c>
      <c r="B13" s="37">
        <f>B5*(Assumptions!$B$34-Assumptions!$B$35)</f>
        <v>18218707.836028166</v>
      </c>
      <c r="C13" s="37">
        <f>C5*(Assumptions!$B$34-Assumptions!$B$35)</f>
        <v>18601300.700584754</v>
      </c>
      <c r="D13" s="37">
        <f>D5*(Assumptions!$B$34-Assumptions!$B$35)</f>
        <v>18991928.015297029</v>
      </c>
      <c r="E13" s="37">
        <f>E5*(Assumptions!$B$34-Assumptions!$B$35)</f>
        <v>19390758.503618266</v>
      </c>
      <c r="F13" s="38">
        <f>F5*(Assumptions!$B$34-Assumptions!$B$35)</f>
        <v>19797964.432194248</v>
      </c>
    </row>
    <row r="14" spans="1:7" ht="15">
      <c r="A14" s="41" t="s">
        <v>274</v>
      </c>
      <c r="B14" s="42">
        <f>B5*(Assumptions!$B$38-Assumptions!$B$37)*Assumptions!$B$39</f>
        <v>3266802.7843912574</v>
      </c>
      <c r="C14" s="42">
        <f>C5*(Assumptions!$B$38-Assumptions!$B$37)*Assumptions!$B$39</f>
        <v>3335405.6428634734</v>
      </c>
      <c r="D14" s="42">
        <f>D5*(Assumptions!$B$38-Assumptions!$B$37)*Assumptions!$B$39</f>
        <v>3405449.1613636059</v>
      </c>
      <c r="E14" s="42">
        <f>E5*(Assumptions!$B$38-Assumptions!$B$37)*Assumptions!$B$39</f>
        <v>3476963.5937522412</v>
      </c>
      <c r="F14" s="43">
        <f>F5*(Assumptions!$B$38-Assumptions!$B$37)*Assumptions!$B$39</f>
        <v>3549979.8292210381</v>
      </c>
    </row>
  </sheetData>
  <mergeCells count="2">
    <mergeCell ref="A2:G2"/>
    <mergeCell ref="A1:G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I55"/>
  <sheetViews>
    <sheetView topLeftCell="A6" workbookViewId="0">
      <selection sqref="A1:XFD1048576"/>
    </sheetView>
  </sheetViews>
  <sheetFormatPr defaultColWidth="8.875" defaultRowHeight="14.25"/>
  <cols>
    <col min="1" max="1" width="44" style="1" customWidth="1"/>
    <col min="2" max="61" width="12" style="1" customWidth="1"/>
    <col min="62" max="16384" width="8.875" style="1"/>
  </cols>
  <sheetData>
    <row r="1" spans="1:61" ht="27.95" customHeight="1">
      <c r="A1" s="130" t="s">
        <v>275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29"/>
      <c r="O1" s="129"/>
      <c r="P1" s="129"/>
      <c r="Q1" s="129"/>
      <c r="R1" s="129"/>
      <c r="S1" s="129"/>
      <c r="T1" s="129"/>
      <c r="U1" s="129"/>
      <c r="V1" s="129"/>
      <c r="W1" s="129"/>
      <c r="X1" s="129"/>
      <c r="Y1" s="129"/>
      <c r="Z1" s="129"/>
      <c r="AA1" s="129"/>
      <c r="AB1" s="129"/>
      <c r="AC1" s="129"/>
      <c r="AD1" s="129"/>
      <c r="AE1" s="129"/>
      <c r="AF1" s="129"/>
      <c r="AG1" s="129"/>
      <c r="AH1" s="129"/>
      <c r="AI1" s="129"/>
      <c r="AJ1" s="129"/>
      <c r="AK1" s="129"/>
      <c r="AL1" s="129"/>
      <c r="AM1" s="129"/>
      <c r="AN1" s="129"/>
      <c r="AO1" s="129"/>
      <c r="AP1" s="129"/>
      <c r="AQ1" s="129"/>
      <c r="AR1" s="129"/>
      <c r="AS1" s="129"/>
      <c r="AT1" s="129"/>
      <c r="AU1" s="129"/>
      <c r="AV1" s="129"/>
      <c r="AW1" s="129"/>
      <c r="AX1" s="129"/>
      <c r="AY1" s="129"/>
      <c r="AZ1" s="129"/>
      <c r="BA1" s="129"/>
      <c r="BB1" s="129"/>
      <c r="BC1" s="129"/>
      <c r="BD1" s="129"/>
      <c r="BE1" s="129"/>
      <c r="BF1" s="129"/>
      <c r="BG1" s="129"/>
      <c r="BH1" s="129"/>
      <c r="BI1" s="129"/>
    </row>
    <row r="2" spans="1:61" ht="35.1" customHeight="1">
      <c r="A2" s="128" t="s">
        <v>276</v>
      </c>
      <c r="B2" s="129"/>
      <c r="C2" s="129"/>
      <c r="D2" s="129"/>
      <c r="E2" s="129"/>
      <c r="F2" s="129"/>
      <c r="G2" s="129"/>
      <c r="H2" s="129"/>
      <c r="I2" s="129"/>
      <c r="J2" s="129"/>
      <c r="K2" s="129"/>
      <c r="L2" s="129"/>
      <c r="M2" s="129"/>
      <c r="N2" s="129"/>
      <c r="O2" s="129"/>
      <c r="P2" s="129"/>
      <c r="Q2" s="129"/>
      <c r="R2" s="129"/>
      <c r="S2" s="129"/>
      <c r="T2" s="129"/>
      <c r="U2" s="129"/>
      <c r="V2" s="129"/>
      <c r="W2" s="129"/>
      <c r="X2" s="129"/>
      <c r="Y2" s="129"/>
      <c r="Z2" s="129"/>
      <c r="AA2" s="129"/>
      <c r="AB2" s="129"/>
      <c r="AC2" s="129"/>
      <c r="AD2" s="129"/>
      <c r="AE2" s="129"/>
      <c r="AF2" s="129"/>
      <c r="AG2" s="129"/>
      <c r="AH2" s="129"/>
      <c r="AI2" s="129"/>
      <c r="AJ2" s="129"/>
      <c r="AK2" s="129"/>
      <c r="AL2" s="129"/>
      <c r="AM2" s="129"/>
      <c r="AN2" s="129"/>
      <c r="AO2" s="129"/>
      <c r="AP2" s="129"/>
      <c r="AQ2" s="129"/>
      <c r="AR2" s="129"/>
      <c r="AS2" s="129"/>
      <c r="AT2" s="129"/>
      <c r="AU2" s="129"/>
      <c r="AV2" s="129"/>
      <c r="AW2" s="129"/>
      <c r="AX2" s="129"/>
      <c r="AY2" s="129"/>
      <c r="AZ2" s="129"/>
      <c r="BA2" s="129"/>
      <c r="BB2" s="129"/>
      <c r="BC2" s="129"/>
      <c r="BD2" s="129"/>
      <c r="BE2" s="129"/>
      <c r="BF2" s="129"/>
      <c r="BG2" s="129"/>
      <c r="BH2" s="129"/>
      <c r="BI2" s="129"/>
    </row>
    <row r="3" spans="1:61" ht="15">
      <c r="A3" s="44" t="s">
        <v>264</v>
      </c>
      <c r="B3" s="34">
        <v>1</v>
      </c>
      <c r="C3" s="34">
        <v>2</v>
      </c>
      <c r="D3" s="34">
        <v>3</v>
      </c>
      <c r="E3" s="34">
        <v>4</v>
      </c>
      <c r="F3" s="34">
        <v>5</v>
      </c>
      <c r="G3" s="34">
        <v>6</v>
      </c>
      <c r="H3" s="34">
        <v>7</v>
      </c>
      <c r="I3" s="34">
        <v>8</v>
      </c>
      <c r="J3" s="34">
        <v>9</v>
      </c>
      <c r="K3" s="34">
        <v>10</v>
      </c>
      <c r="L3" s="34">
        <v>11</v>
      </c>
      <c r="M3" s="34">
        <v>12</v>
      </c>
      <c r="N3" s="34">
        <v>13</v>
      </c>
      <c r="O3" s="34">
        <v>14</v>
      </c>
      <c r="P3" s="34">
        <v>15</v>
      </c>
      <c r="Q3" s="34">
        <v>16</v>
      </c>
      <c r="R3" s="34">
        <v>17</v>
      </c>
      <c r="S3" s="34">
        <v>18</v>
      </c>
      <c r="T3" s="34">
        <v>19</v>
      </c>
      <c r="U3" s="34">
        <v>20</v>
      </c>
      <c r="V3" s="34">
        <v>21</v>
      </c>
      <c r="W3" s="34">
        <v>22</v>
      </c>
      <c r="X3" s="34">
        <v>23</v>
      </c>
      <c r="Y3" s="34">
        <v>24</v>
      </c>
      <c r="Z3" s="34">
        <v>25</v>
      </c>
      <c r="AA3" s="34">
        <v>26</v>
      </c>
      <c r="AB3" s="34">
        <v>27</v>
      </c>
      <c r="AC3" s="34">
        <v>28</v>
      </c>
      <c r="AD3" s="34">
        <v>29</v>
      </c>
      <c r="AE3" s="34">
        <v>30</v>
      </c>
      <c r="AF3" s="34">
        <v>31</v>
      </c>
      <c r="AG3" s="34">
        <v>32</v>
      </c>
      <c r="AH3" s="34">
        <v>33</v>
      </c>
      <c r="AI3" s="34">
        <v>34</v>
      </c>
      <c r="AJ3" s="34">
        <v>35</v>
      </c>
      <c r="AK3" s="34">
        <v>36</v>
      </c>
      <c r="AL3" s="34">
        <v>37</v>
      </c>
      <c r="AM3" s="34">
        <v>38</v>
      </c>
      <c r="AN3" s="34">
        <v>39</v>
      </c>
      <c r="AO3" s="34">
        <v>40</v>
      </c>
      <c r="AP3" s="34">
        <v>41</v>
      </c>
      <c r="AQ3" s="34">
        <v>42</v>
      </c>
      <c r="AR3" s="34">
        <v>43</v>
      </c>
      <c r="AS3" s="34">
        <v>44</v>
      </c>
      <c r="AT3" s="34">
        <v>45</v>
      </c>
      <c r="AU3" s="34">
        <v>46</v>
      </c>
      <c r="AV3" s="34">
        <v>47</v>
      </c>
      <c r="AW3" s="34">
        <v>48</v>
      </c>
      <c r="AX3" s="34">
        <v>49</v>
      </c>
      <c r="AY3" s="34">
        <v>50</v>
      </c>
      <c r="AZ3" s="34">
        <v>51</v>
      </c>
      <c r="BA3" s="34">
        <v>52</v>
      </c>
      <c r="BB3" s="34">
        <v>53</v>
      </c>
      <c r="BC3" s="34">
        <v>54</v>
      </c>
      <c r="BD3" s="34">
        <v>55</v>
      </c>
      <c r="BE3" s="34">
        <v>56</v>
      </c>
      <c r="BF3" s="34">
        <v>57</v>
      </c>
      <c r="BG3" s="34">
        <v>58</v>
      </c>
      <c r="BH3" s="34">
        <v>59</v>
      </c>
      <c r="BI3" s="35">
        <v>60</v>
      </c>
    </row>
    <row r="4" spans="1:61" ht="15">
      <c r="A4" s="36" t="s">
        <v>277</v>
      </c>
      <c r="B4" s="45">
        <v>46235</v>
      </c>
      <c r="C4" s="45">
        <v>46266</v>
      </c>
      <c r="D4" s="45">
        <v>46296</v>
      </c>
      <c r="E4" s="45">
        <v>46327</v>
      </c>
      <c r="F4" s="45">
        <v>46357</v>
      </c>
      <c r="G4" s="45">
        <v>46388</v>
      </c>
      <c r="H4" s="45">
        <v>46419</v>
      </c>
      <c r="I4" s="45">
        <v>46447</v>
      </c>
      <c r="J4" s="45">
        <v>46478</v>
      </c>
      <c r="K4" s="45">
        <v>46508</v>
      </c>
      <c r="L4" s="45">
        <v>46539</v>
      </c>
      <c r="M4" s="45">
        <v>46569</v>
      </c>
      <c r="N4" s="45">
        <v>46600</v>
      </c>
      <c r="O4" s="45">
        <v>46631</v>
      </c>
      <c r="P4" s="45">
        <v>46661</v>
      </c>
      <c r="Q4" s="45">
        <v>46692</v>
      </c>
      <c r="R4" s="45">
        <v>46722</v>
      </c>
      <c r="S4" s="45">
        <v>46753</v>
      </c>
      <c r="T4" s="45">
        <v>46784</v>
      </c>
      <c r="U4" s="45">
        <v>46813</v>
      </c>
      <c r="V4" s="45">
        <v>46844</v>
      </c>
      <c r="W4" s="45">
        <v>46874</v>
      </c>
      <c r="X4" s="45">
        <v>46905</v>
      </c>
      <c r="Y4" s="45">
        <v>46935</v>
      </c>
      <c r="Z4" s="45">
        <v>46966</v>
      </c>
      <c r="AA4" s="45">
        <v>46997</v>
      </c>
      <c r="AB4" s="45">
        <v>47027</v>
      </c>
      <c r="AC4" s="45">
        <v>47058</v>
      </c>
      <c r="AD4" s="45">
        <v>47088</v>
      </c>
      <c r="AE4" s="45">
        <v>47119</v>
      </c>
      <c r="AF4" s="45">
        <v>47150</v>
      </c>
      <c r="AG4" s="45">
        <v>47178</v>
      </c>
      <c r="AH4" s="45">
        <v>47209</v>
      </c>
      <c r="AI4" s="45">
        <v>47239</v>
      </c>
      <c r="AJ4" s="45">
        <v>47270</v>
      </c>
      <c r="AK4" s="45">
        <v>47300</v>
      </c>
      <c r="AL4" s="45">
        <v>47331</v>
      </c>
      <c r="AM4" s="45">
        <v>47362</v>
      </c>
      <c r="AN4" s="45">
        <v>47392</v>
      </c>
      <c r="AO4" s="45">
        <v>47423</v>
      </c>
      <c r="AP4" s="45">
        <v>47453</v>
      </c>
      <c r="AQ4" s="45">
        <v>47484</v>
      </c>
      <c r="AR4" s="45">
        <v>47515</v>
      </c>
      <c r="AS4" s="45">
        <v>47543</v>
      </c>
      <c r="AT4" s="45">
        <v>47574</v>
      </c>
      <c r="AU4" s="45">
        <v>47604</v>
      </c>
      <c r="AV4" s="45">
        <v>47635</v>
      </c>
      <c r="AW4" s="45">
        <v>47665</v>
      </c>
      <c r="AX4" s="45">
        <v>47696</v>
      </c>
      <c r="AY4" s="45">
        <v>47727</v>
      </c>
      <c r="AZ4" s="45">
        <v>47757</v>
      </c>
      <c r="BA4" s="45">
        <v>47788</v>
      </c>
      <c r="BB4" s="45">
        <v>47818</v>
      </c>
      <c r="BC4" s="45">
        <v>47849</v>
      </c>
      <c r="BD4" s="45">
        <v>47880</v>
      </c>
      <c r="BE4" s="45">
        <v>47908</v>
      </c>
      <c r="BF4" s="45">
        <v>47939</v>
      </c>
      <c r="BG4" s="45">
        <v>47969</v>
      </c>
      <c r="BH4" s="45">
        <v>48000</v>
      </c>
      <c r="BI4" s="46">
        <v>48030</v>
      </c>
    </row>
    <row r="5" spans="1:61" ht="15">
      <c r="A5" s="36" t="s">
        <v>278</v>
      </c>
      <c r="B5" s="37">
        <f t="shared" ref="B5:AG5" si="0">INT((B$3-1)/12)+1</f>
        <v>1</v>
      </c>
      <c r="C5" s="37">
        <f t="shared" si="0"/>
        <v>1</v>
      </c>
      <c r="D5" s="37">
        <f t="shared" si="0"/>
        <v>1</v>
      </c>
      <c r="E5" s="37">
        <f t="shared" si="0"/>
        <v>1</v>
      </c>
      <c r="F5" s="37">
        <f t="shared" si="0"/>
        <v>1</v>
      </c>
      <c r="G5" s="37">
        <f t="shared" si="0"/>
        <v>1</v>
      </c>
      <c r="H5" s="37">
        <f t="shared" si="0"/>
        <v>1</v>
      </c>
      <c r="I5" s="37">
        <f t="shared" si="0"/>
        <v>1</v>
      </c>
      <c r="J5" s="37">
        <f t="shared" si="0"/>
        <v>1</v>
      </c>
      <c r="K5" s="37">
        <f t="shared" si="0"/>
        <v>1</v>
      </c>
      <c r="L5" s="37">
        <f t="shared" si="0"/>
        <v>1</v>
      </c>
      <c r="M5" s="37">
        <f t="shared" si="0"/>
        <v>1</v>
      </c>
      <c r="N5" s="37">
        <f t="shared" si="0"/>
        <v>2</v>
      </c>
      <c r="O5" s="37">
        <f t="shared" si="0"/>
        <v>2</v>
      </c>
      <c r="P5" s="37">
        <f t="shared" si="0"/>
        <v>2</v>
      </c>
      <c r="Q5" s="37">
        <f t="shared" si="0"/>
        <v>2</v>
      </c>
      <c r="R5" s="37">
        <f t="shared" si="0"/>
        <v>2</v>
      </c>
      <c r="S5" s="37">
        <f t="shared" si="0"/>
        <v>2</v>
      </c>
      <c r="T5" s="37">
        <f t="shared" si="0"/>
        <v>2</v>
      </c>
      <c r="U5" s="37">
        <f t="shared" si="0"/>
        <v>2</v>
      </c>
      <c r="V5" s="37">
        <f t="shared" si="0"/>
        <v>2</v>
      </c>
      <c r="W5" s="37">
        <f t="shared" si="0"/>
        <v>2</v>
      </c>
      <c r="X5" s="37">
        <f t="shared" si="0"/>
        <v>2</v>
      </c>
      <c r="Y5" s="37">
        <f t="shared" si="0"/>
        <v>2</v>
      </c>
      <c r="Z5" s="37">
        <f t="shared" si="0"/>
        <v>3</v>
      </c>
      <c r="AA5" s="37">
        <f t="shared" si="0"/>
        <v>3</v>
      </c>
      <c r="AB5" s="37">
        <f t="shared" si="0"/>
        <v>3</v>
      </c>
      <c r="AC5" s="37">
        <f t="shared" si="0"/>
        <v>3</v>
      </c>
      <c r="AD5" s="37">
        <f t="shared" si="0"/>
        <v>3</v>
      </c>
      <c r="AE5" s="37">
        <f t="shared" si="0"/>
        <v>3</v>
      </c>
      <c r="AF5" s="37">
        <f t="shared" si="0"/>
        <v>3</v>
      </c>
      <c r="AG5" s="37">
        <f t="shared" si="0"/>
        <v>3</v>
      </c>
      <c r="AH5" s="37">
        <f t="shared" ref="AH5:BI5" si="1">INT((AH$3-1)/12)+1</f>
        <v>3</v>
      </c>
      <c r="AI5" s="37">
        <f t="shared" si="1"/>
        <v>3</v>
      </c>
      <c r="AJ5" s="37">
        <f t="shared" si="1"/>
        <v>3</v>
      </c>
      <c r="AK5" s="37">
        <f t="shared" si="1"/>
        <v>3</v>
      </c>
      <c r="AL5" s="37">
        <f t="shared" si="1"/>
        <v>4</v>
      </c>
      <c r="AM5" s="37">
        <f t="shared" si="1"/>
        <v>4</v>
      </c>
      <c r="AN5" s="37">
        <f t="shared" si="1"/>
        <v>4</v>
      </c>
      <c r="AO5" s="37">
        <f t="shared" si="1"/>
        <v>4</v>
      </c>
      <c r="AP5" s="37">
        <f t="shared" si="1"/>
        <v>4</v>
      </c>
      <c r="AQ5" s="37">
        <f t="shared" si="1"/>
        <v>4</v>
      </c>
      <c r="AR5" s="37">
        <f t="shared" si="1"/>
        <v>4</v>
      </c>
      <c r="AS5" s="37">
        <f t="shared" si="1"/>
        <v>4</v>
      </c>
      <c r="AT5" s="37">
        <f t="shared" si="1"/>
        <v>4</v>
      </c>
      <c r="AU5" s="37">
        <f t="shared" si="1"/>
        <v>4</v>
      </c>
      <c r="AV5" s="37">
        <f t="shared" si="1"/>
        <v>4</v>
      </c>
      <c r="AW5" s="37">
        <f t="shared" si="1"/>
        <v>4</v>
      </c>
      <c r="AX5" s="37">
        <f t="shared" si="1"/>
        <v>5</v>
      </c>
      <c r="AY5" s="37">
        <f t="shared" si="1"/>
        <v>5</v>
      </c>
      <c r="AZ5" s="37">
        <f t="shared" si="1"/>
        <v>5</v>
      </c>
      <c r="BA5" s="37">
        <f t="shared" si="1"/>
        <v>5</v>
      </c>
      <c r="BB5" s="37">
        <f t="shared" si="1"/>
        <v>5</v>
      </c>
      <c r="BC5" s="37">
        <f t="shared" si="1"/>
        <v>5</v>
      </c>
      <c r="BD5" s="37">
        <f t="shared" si="1"/>
        <v>5</v>
      </c>
      <c r="BE5" s="37">
        <f t="shared" si="1"/>
        <v>5</v>
      </c>
      <c r="BF5" s="37">
        <f t="shared" si="1"/>
        <v>5</v>
      </c>
      <c r="BG5" s="37">
        <f t="shared" si="1"/>
        <v>5</v>
      </c>
      <c r="BH5" s="37">
        <f t="shared" si="1"/>
        <v>5</v>
      </c>
      <c r="BI5" s="38">
        <f t="shared" si="1"/>
        <v>5</v>
      </c>
    </row>
    <row r="6" spans="1:61" ht="15">
      <c r="A6" s="36" t="s">
        <v>279</v>
      </c>
      <c r="B6" s="37">
        <f t="shared" ref="B6:AG6" si="2">MOD(B$3-1,12)+1</f>
        <v>1</v>
      </c>
      <c r="C6" s="37">
        <f t="shared" si="2"/>
        <v>2</v>
      </c>
      <c r="D6" s="37">
        <f t="shared" si="2"/>
        <v>3</v>
      </c>
      <c r="E6" s="37">
        <f t="shared" si="2"/>
        <v>4</v>
      </c>
      <c r="F6" s="37">
        <f t="shared" si="2"/>
        <v>5</v>
      </c>
      <c r="G6" s="37">
        <f t="shared" si="2"/>
        <v>6</v>
      </c>
      <c r="H6" s="37">
        <f t="shared" si="2"/>
        <v>7</v>
      </c>
      <c r="I6" s="37">
        <f t="shared" si="2"/>
        <v>8</v>
      </c>
      <c r="J6" s="37">
        <f t="shared" si="2"/>
        <v>9</v>
      </c>
      <c r="K6" s="37">
        <f t="shared" si="2"/>
        <v>10</v>
      </c>
      <c r="L6" s="37">
        <f t="shared" si="2"/>
        <v>11</v>
      </c>
      <c r="M6" s="37">
        <f t="shared" si="2"/>
        <v>12</v>
      </c>
      <c r="N6" s="37">
        <f t="shared" si="2"/>
        <v>1</v>
      </c>
      <c r="O6" s="37">
        <f t="shared" si="2"/>
        <v>2</v>
      </c>
      <c r="P6" s="37">
        <f t="shared" si="2"/>
        <v>3</v>
      </c>
      <c r="Q6" s="37">
        <f t="shared" si="2"/>
        <v>4</v>
      </c>
      <c r="R6" s="37">
        <f t="shared" si="2"/>
        <v>5</v>
      </c>
      <c r="S6" s="37">
        <f t="shared" si="2"/>
        <v>6</v>
      </c>
      <c r="T6" s="37">
        <f t="shared" si="2"/>
        <v>7</v>
      </c>
      <c r="U6" s="37">
        <f t="shared" si="2"/>
        <v>8</v>
      </c>
      <c r="V6" s="37">
        <f t="shared" si="2"/>
        <v>9</v>
      </c>
      <c r="W6" s="37">
        <f t="shared" si="2"/>
        <v>10</v>
      </c>
      <c r="X6" s="37">
        <f t="shared" si="2"/>
        <v>11</v>
      </c>
      <c r="Y6" s="37">
        <f t="shared" si="2"/>
        <v>12</v>
      </c>
      <c r="Z6" s="37">
        <f t="shared" si="2"/>
        <v>1</v>
      </c>
      <c r="AA6" s="37">
        <f t="shared" si="2"/>
        <v>2</v>
      </c>
      <c r="AB6" s="37">
        <f t="shared" si="2"/>
        <v>3</v>
      </c>
      <c r="AC6" s="37">
        <f t="shared" si="2"/>
        <v>4</v>
      </c>
      <c r="AD6" s="37">
        <f t="shared" si="2"/>
        <v>5</v>
      </c>
      <c r="AE6" s="37">
        <f t="shared" si="2"/>
        <v>6</v>
      </c>
      <c r="AF6" s="37">
        <f t="shared" si="2"/>
        <v>7</v>
      </c>
      <c r="AG6" s="37">
        <f t="shared" si="2"/>
        <v>8</v>
      </c>
      <c r="AH6" s="37">
        <f t="shared" ref="AH6:BI6" si="3">MOD(AH$3-1,12)+1</f>
        <v>9</v>
      </c>
      <c r="AI6" s="37">
        <f t="shared" si="3"/>
        <v>10</v>
      </c>
      <c r="AJ6" s="37">
        <f t="shared" si="3"/>
        <v>11</v>
      </c>
      <c r="AK6" s="37">
        <f t="shared" si="3"/>
        <v>12</v>
      </c>
      <c r="AL6" s="37">
        <f t="shared" si="3"/>
        <v>1</v>
      </c>
      <c r="AM6" s="37">
        <f t="shared" si="3"/>
        <v>2</v>
      </c>
      <c r="AN6" s="37">
        <f t="shared" si="3"/>
        <v>3</v>
      </c>
      <c r="AO6" s="37">
        <f t="shared" si="3"/>
        <v>4</v>
      </c>
      <c r="AP6" s="37">
        <f t="shared" si="3"/>
        <v>5</v>
      </c>
      <c r="AQ6" s="37">
        <f t="shared" si="3"/>
        <v>6</v>
      </c>
      <c r="AR6" s="37">
        <f t="shared" si="3"/>
        <v>7</v>
      </c>
      <c r="AS6" s="37">
        <f t="shared" si="3"/>
        <v>8</v>
      </c>
      <c r="AT6" s="37">
        <f t="shared" si="3"/>
        <v>9</v>
      </c>
      <c r="AU6" s="37">
        <f t="shared" si="3"/>
        <v>10</v>
      </c>
      <c r="AV6" s="37">
        <f t="shared" si="3"/>
        <v>11</v>
      </c>
      <c r="AW6" s="37">
        <f t="shared" si="3"/>
        <v>12</v>
      </c>
      <c r="AX6" s="37">
        <f t="shared" si="3"/>
        <v>1</v>
      </c>
      <c r="AY6" s="37">
        <f t="shared" si="3"/>
        <v>2</v>
      </c>
      <c r="AZ6" s="37">
        <f t="shared" si="3"/>
        <v>3</v>
      </c>
      <c r="BA6" s="37">
        <f t="shared" si="3"/>
        <v>4</v>
      </c>
      <c r="BB6" s="37">
        <f t="shared" si="3"/>
        <v>5</v>
      </c>
      <c r="BC6" s="37">
        <f t="shared" si="3"/>
        <v>6</v>
      </c>
      <c r="BD6" s="37">
        <f t="shared" si="3"/>
        <v>7</v>
      </c>
      <c r="BE6" s="37">
        <f t="shared" si="3"/>
        <v>8</v>
      </c>
      <c r="BF6" s="37">
        <f t="shared" si="3"/>
        <v>9</v>
      </c>
      <c r="BG6" s="37">
        <f t="shared" si="3"/>
        <v>10</v>
      </c>
      <c r="BH6" s="37">
        <f t="shared" si="3"/>
        <v>11</v>
      </c>
      <c r="BI6" s="38">
        <f t="shared" si="3"/>
        <v>12</v>
      </c>
    </row>
    <row r="7" spans="1:61" ht="15">
      <c r="A7" s="36" t="s">
        <v>280</v>
      </c>
      <c r="B7" s="37">
        <f>IF(B$3&gt;=Assumptions!$B$7,1,0)</f>
        <v>0</v>
      </c>
      <c r="C7" s="37">
        <f>IF(C$3&gt;=Assumptions!$B$7,1,0)</f>
        <v>0</v>
      </c>
      <c r="D7" s="37">
        <f>IF(D$3&gt;=Assumptions!$B$7,1,0)</f>
        <v>0</v>
      </c>
      <c r="E7" s="37">
        <f>IF(E$3&gt;=Assumptions!$B$7,1,0)</f>
        <v>0</v>
      </c>
      <c r="F7" s="37">
        <f>IF(F$3&gt;=Assumptions!$B$7,1,0)</f>
        <v>0</v>
      </c>
      <c r="G7" s="37">
        <f>IF(G$3&gt;=Assumptions!$B$7,1,0)</f>
        <v>0</v>
      </c>
      <c r="H7" s="37">
        <f>IF(H$3&gt;=Assumptions!$B$7,1,0)</f>
        <v>0</v>
      </c>
      <c r="I7" s="37">
        <f>IF(I$3&gt;=Assumptions!$B$7,1,0)</f>
        <v>0</v>
      </c>
      <c r="J7" s="37">
        <f>IF(J$3&gt;=Assumptions!$B$7,1,0)</f>
        <v>0</v>
      </c>
      <c r="K7" s="37">
        <f>IF(K$3&gt;=Assumptions!$B$7,1,0)</f>
        <v>0</v>
      </c>
      <c r="L7" s="37">
        <f>IF(L$3&gt;=Assumptions!$B$7,1,0)</f>
        <v>0</v>
      </c>
      <c r="M7" s="37">
        <f>IF(M$3&gt;=Assumptions!$B$7,1,0)</f>
        <v>0</v>
      </c>
      <c r="N7" s="37">
        <f>IF(N$3&gt;=Assumptions!$B$7,1,0)</f>
        <v>1</v>
      </c>
      <c r="O7" s="37">
        <f>IF(O$3&gt;=Assumptions!$B$7,1,0)</f>
        <v>1</v>
      </c>
      <c r="P7" s="37">
        <f>IF(P$3&gt;=Assumptions!$B$7,1,0)</f>
        <v>1</v>
      </c>
      <c r="Q7" s="37">
        <f>IF(Q$3&gt;=Assumptions!$B$7,1,0)</f>
        <v>1</v>
      </c>
      <c r="R7" s="37">
        <f>IF(R$3&gt;=Assumptions!$B$7,1,0)</f>
        <v>1</v>
      </c>
      <c r="S7" s="37">
        <f>IF(S$3&gt;=Assumptions!$B$7,1,0)</f>
        <v>1</v>
      </c>
      <c r="T7" s="37">
        <f>IF(T$3&gt;=Assumptions!$B$7,1,0)</f>
        <v>1</v>
      </c>
      <c r="U7" s="37">
        <f>IF(U$3&gt;=Assumptions!$B$7,1,0)</f>
        <v>1</v>
      </c>
      <c r="V7" s="37">
        <f>IF(V$3&gt;=Assumptions!$B$7,1,0)</f>
        <v>1</v>
      </c>
      <c r="W7" s="37">
        <f>IF(W$3&gt;=Assumptions!$B$7,1,0)</f>
        <v>1</v>
      </c>
      <c r="X7" s="37">
        <f>IF(X$3&gt;=Assumptions!$B$7,1,0)</f>
        <v>1</v>
      </c>
      <c r="Y7" s="37">
        <f>IF(Y$3&gt;=Assumptions!$B$7,1,0)</f>
        <v>1</v>
      </c>
      <c r="Z7" s="37">
        <f>IF(Z$3&gt;=Assumptions!$B$7,1,0)</f>
        <v>1</v>
      </c>
      <c r="AA7" s="37">
        <f>IF(AA$3&gt;=Assumptions!$B$7,1,0)</f>
        <v>1</v>
      </c>
      <c r="AB7" s="37">
        <f>IF(AB$3&gt;=Assumptions!$B$7,1,0)</f>
        <v>1</v>
      </c>
      <c r="AC7" s="37">
        <f>IF(AC$3&gt;=Assumptions!$B$7,1,0)</f>
        <v>1</v>
      </c>
      <c r="AD7" s="37">
        <f>IF(AD$3&gt;=Assumptions!$B$7,1,0)</f>
        <v>1</v>
      </c>
      <c r="AE7" s="37">
        <f>IF(AE$3&gt;=Assumptions!$B$7,1,0)</f>
        <v>1</v>
      </c>
      <c r="AF7" s="37">
        <f>IF(AF$3&gt;=Assumptions!$B$7,1,0)</f>
        <v>1</v>
      </c>
      <c r="AG7" s="37">
        <f>IF(AG$3&gt;=Assumptions!$B$7,1,0)</f>
        <v>1</v>
      </c>
      <c r="AH7" s="37">
        <f>IF(AH$3&gt;=Assumptions!$B$7,1,0)</f>
        <v>1</v>
      </c>
      <c r="AI7" s="37">
        <f>IF(AI$3&gt;=Assumptions!$B$7,1,0)</f>
        <v>1</v>
      </c>
      <c r="AJ7" s="37">
        <f>IF(AJ$3&gt;=Assumptions!$B$7,1,0)</f>
        <v>1</v>
      </c>
      <c r="AK7" s="37">
        <f>IF(AK$3&gt;=Assumptions!$B$7,1,0)</f>
        <v>1</v>
      </c>
      <c r="AL7" s="37">
        <f>IF(AL$3&gt;=Assumptions!$B$7,1,0)</f>
        <v>1</v>
      </c>
      <c r="AM7" s="37">
        <f>IF(AM$3&gt;=Assumptions!$B$7,1,0)</f>
        <v>1</v>
      </c>
      <c r="AN7" s="37">
        <f>IF(AN$3&gt;=Assumptions!$B$7,1,0)</f>
        <v>1</v>
      </c>
      <c r="AO7" s="37">
        <f>IF(AO$3&gt;=Assumptions!$B$7,1,0)</f>
        <v>1</v>
      </c>
      <c r="AP7" s="37">
        <f>IF(AP$3&gt;=Assumptions!$B$7,1,0)</f>
        <v>1</v>
      </c>
      <c r="AQ7" s="37">
        <f>IF(AQ$3&gt;=Assumptions!$B$7,1,0)</f>
        <v>1</v>
      </c>
      <c r="AR7" s="37">
        <f>IF(AR$3&gt;=Assumptions!$B$7,1,0)</f>
        <v>1</v>
      </c>
      <c r="AS7" s="37">
        <f>IF(AS$3&gt;=Assumptions!$B$7,1,0)</f>
        <v>1</v>
      </c>
      <c r="AT7" s="37">
        <f>IF(AT$3&gt;=Assumptions!$B$7,1,0)</f>
        <v>1</v>
      </c>
      <c r="AU7" s="37">
        <f>IF(AU$3&gt;=Assumptions!$B$7,1,0)</f>
        <v>1</v>
      </c>
      <c r="AV7" s="37">
        <f>IF(AV$3&gt;=Assumptions!$B$7,1,0)</f>
        <v>1</v>
      </c>
      <c r="AW7" s="37">
        <f>IF(AW$3&gt;=Assumptions!$B$7,1,0)</f>
        <v>1</v>
      </c>
      <c r="AX7" s="37">
        <f>IF(AX$3&gt;=Assumptions!$B$7,1,0)</f>
        <v>1</v>
      </c>
      <c r="AY7" s="37">
        <f>IF(AY$3&gt;=Assumptions!$B$7,1,0)</f>
        <v>1</v>
      </c>
      <c r="AZ7" s="37">
        <f>IF(AZ$3&gt;=Assumptions!$B$7,1,0)</f>
        <v>1</v>
      </c>
      <c r="BA7" s="37">
        <f>IF(BA$3&gt;=Assumptions!$B$7,1,0)</f>
        <v>1</v>
      </c>
      <c r="BB7" s="37">
        <f>IF(BB$3&gt;=Assumptions!$B$7,1,0)</f>
        <v>1</v>
      </c>
      <c r="BC7" s="37">
        <f>IF(BC$3&gt;=Assumptions!$B$7,1,0)</f>
        <v>1</v>
      </c>
      <c r="BD7" s="37">
        <f>IF(BD$3&gt;=Assumptions!$B$7,1,0)</f>
        <v>1</v>
      </c>
      <c r="BE7" s="37">
        <f>IF(BE$3&gt;=Assumptions!$B$7,1,0)</f>
        <v>1</v>
      </c>
      <c r="BF7" s="37">
        <f>IF(BF$3&gt;=Assumptions!$B$7,1,0)</f>
        <v>1</v>
      </c>
      <c r="BG7" s="37">
        <f>IF(BG$3&gt;=Assumptions!$B$7,1,0)</f>
        <v>1</v>
      </c>
      <c r="BH7" s="37">
        <f>IF(BH$3&gt;=Assumptions!$B$7,1,0)</f>
        <v>1</v>
      </c>
      <c r="BI7" s="38">
        <f>IF(BI$3&gt;=Assumptions!$B$7,1,0)</f>
        <v>1</v>
      </c>
    </row>
    <row r="8" spans="1:61" ht="15">
      <c r="A8" s="36" t="s">
        <v>281</v>
      </c>
      <c r="B8" s="47">
        <f>IF(B$5=1,INDEX(Assumptions!$B$57:$F$57,1,B$5)*B$6/12,INDEX(Assumptions!$B$57:$F$57,1,B$5-1)+(INDEX(Assumptions!$B$57:$F$57,1,B$5)-INDEX(Assumptions!$B$57:$F$57,1,B$5-1))*B$6/12)</f>
        <v>5000</v>
      </c>
      <c r="C8" s="47">
        <f>IF(C$5=1,INDEX(Assumptions!$B$57:$F$57,1,C$5)*C$6/12,INDEX(Assumptions!$B$57:$F$57,1,C$5-1)+(INDEX(Assumptions!$B$57:$F$57,1,C$5)-INDEX(Assumptions!$B$57:$F$57,1,C$5-1))*C$6/12)</f>
        <v>10000</v>
      </c>
      <c r="D8" s="47">
        <f>IF(D$5=1,INDEX(Assumptions!$B$57:$F$57,1,D$5)*D$6/12,INDEX(Assumptions!$B$57:$F$57,1,D$5-1)+(INDEX(Assumptions!$B$57:$F$57,1,D$5)-INDEX(Assumptions!$B$57:$F$57,1,D$5-1))*D$6/12)</f>
        <v>15000</v>
      </c>
      <c r="E8" s="47">
        <f>IF(E$5=1,INDEX(Assumptions!$B$57:$F$57,1,E$5)*E$6/12,INDEX(Assumptions!$B$57:$F$57,1,E$5-1)+(INDEX(Assumptions!$B$57:$F$57,1,E$5)-INDEX(Assumptions!$B$57:$F$57,1,E$5-1))*E$6/12)</f>
        <v>20000</v>
      </c>
      <c r="F8" s="47">
        <f>IF(F$5=1,INDEX(Assumptions!$B$57:$F$57,1,F$5)*F$6/12,INDEX(Assumptions!$B$57:$F$57,1,F$5-1)+(INDEX(Assumptions!$B$57:$F$57,1,F$5)-INDEX(Assumptions!$B$57:$F$57,1,F$5-1))*F$6/12)</f>
        <v>25000</v>
      </c>
      <c r="G8" s="47">
        <f>IF(G$5=1,INDEX(Assumptions!$B$57:$F$57,1,G$5)*G$6/12,INDEX(Assumptions!$B$57:$F$57,1,G$5-1)+(INDEX(Assumptions!$B$57:$F$57,1,G$5)-INDEX(Assumptions!$B$57:$F$57,1,G$5-1))*G$6/12)</f>
        <v>30000</v>
      </c>
      <c r="H8" s="47">
        <f>IF(H$5=1,INDEX(Assumptions!$B$57:$F$57,1,H$5)*H$6/12,INDEX(Assumptions!$B$57:$F$57,1,H$5-1)+(INDEX(Assumptions!$B$57:$F$57,1,H$5)-INDEX(Assumptions!$B$57:$F$57,1,H$5-1))*H$6/12)</f>
        <v>35000</v>
      </c>
      <c r="I8" s="47">
        <f>IF(I$5=1,INDEX(Assumptions!$B$57:$F$57,1,I$5)*I$6/12,INDEX(Assumptions!$B$57:$F$57,1,I$5-1)+(INDEX(Assumptions!$B$57:$F$57,1,I$5)-INDEX(Assumptions!$B$57:$F$57,1,I$5-1))*I$6/12)</f>
        <v>40000</v>
      </c>
      <c r="J8" s="47">
        <f>IF(J$5=1,INDEX(Assumptions!$B$57:$F$57,1,J$5)*J$6/12,INDEX(Assumptions!$B$57:$F$57,1,J$5-1)+(INDEX(Assumptions!$B$57:$F$57,1,J$5)-INDEX(Assumptions!$B$57:$F$57,1,J$5-1))*J$6/12)</f>
        <v>45000</v>
      </c>
      <c r="K8" s="47">
        <f>IF(K$5=1,INDEX(Assumptions!$B$57:$F$57,1,K$5)*K$6/12,INDEX(Assumptions!$B$57:$F$57,1,K$5-1)+(INDEX(Assumptions!$B$57:$F$57,1,K$5)-INDEX(Assumptions!$B$57:$F$57,1,K$5-1))*K$6/12)</f>
        <v>50000</v>
      </c>
      <c r="L8" s="47">
        <f>IF(L$5=1,INDEX(Assumptions!$B$57:$F$57,1,L$5)*L$6/12,INDEX(Assumptions!$B$57:$F$57,1,L$5-1)+(INDEX(Assumptions!$B$57:$F$57,1,L$5)-INDEX(Assumptions!$B$57:$F$57,1,L$5-1))*L$6/12)</f>
        <v>55000</v>
      </c>
      <c r="M8" s="47">
        <f>IF(M$5=1,INDEX(Assumptions!$B$57:$F$57,1,M$5)*M$6/12,INDEX(Assumptions!$B$57:$F$57,1,M$5-1)+(INDEX(Assumptions!$B$57:$F$57,1,M$5)-INDEX(Assumptions!$B$57:$F$57,1,M$5-1))*M$6/12)</f>
        <v>60000</v>
      </c>
      <c r="N8" s="47">
        <f>IF(N$5=1,INDEX(Assumptions!$B$57:$F$57,1,N$5)*N$6/12,INDEX(Assumptions!$B$57:$F$57,1,N$5-1)+(INDEX(Assumptions!$B$57:$F$57,1,N$5)-INDEX(Assumptions!$B$57:$F$57,1,N$5-1))*N$6/12)</f>
        <v>62916.666666666664</v>
      </c>
      <c r="O8" s="47">
        <f>IF(O$5=1,INDEX(Assumptions!$B$57:$F$57,1,O$5)*O$6/12,INDEX(Assumptions!$B$57:$F$57,1,O$5-1)+(INDEX(Assumptions!$B$57:$F$57,1,O$5)-INDEX(Assumptions!$B$57:$F$57,1,O$5-1))*O$6/12)</f>
        <v>65833.333333333328</v>
      </c>
      <c r="P8" s="47">
        <f>IF(P$5=1,INDEX(Assumptions!$B$57:$F$57,1,P$5)*P$6/12,INDEX(Assumptions!$B$57:$F$57,1,P$5-1)+(INDEX(Assumptions!$B$57:$F$57,1,P$5)-INDEX(Assumptions!$B$57:$F$57,1,P$5-1))*P$6/12)</f>
        <v>68750</v>
      </c>
      <c r="Q8" s="47">
        <f>IF(Q$5=1,INDEX(Assumptions!$B$57:$F$57,1,Q$5)*Q$6/12,INDEX(Assumptions!$B$57:$F$57,1,Q$5-1)+(INDEX(Assumptions!$B$57:$F$57,1,Q$5)-INDEX(Assumptions!$B$57:$F$57,1,Q$5-1))*Q$6/12)</f>
        <v>71666.666666666672</v>
      </c>
      <c r="R8" s="47">
        <f>IF(R$5=1,INDEX(Assumptions!$B$57:$F$57,1,R$5)*R$6/12,INDEX(Assumptions!$B$57:$F$57,1,R$5-1)+(INDEX(Assumptions!$B$57:$F$57,1,R$5)-INDEX(Assumptions!$B$57:$F$57,1,R$5-1))*R$6/12)</f>
        <v>74583.333333333328</v>
      </c>
      <c r="S8" s="47">
        <f>IF(S$5=1,INDEX(Assumptions!$B$57:$F$57,1,S$5)*S$6/12,INDEX(Assumptions!$B$57:$F$57,1,S$5-1)+(INDEX(Assumptions!$B$57:$F$57,1,S$5)-INDEX(Assumptions!$B$57:$F$57,1,S$5-1))*S$6/12)</f>
        <v>77500</v>
      </c>
      <c r="T8" s="47">
        <f>IF(T$5=1,INDEX(Assumptions!$B$57:$F$57,1,T$5)*T$6/12,INDEX(Assumptions!$B$57:$F$57,1,T$5-1)+(INDEX(Assumptions!$B$57:$F$57,1,T$5)-INDEX(Assumptions!$B$57:$F$57,1,T$5-1))*T$6/12)</f>
        <v>80416.666666666672</v>
      </c>
      <c r="U8" s="47">
        <f>IF(U$5=1,INDEX(Assumptions!$B$57:$F$57,1,U$5)*U$6/12,INDEX(Assumptions!$B$57:$F$57,1,U$5-1)+(INDEX(Assumptions!$B$57:$F$57,1,U$5)-INDEX(Assumptions!$B$57:$F$57,1,U$5-1))*U$6/12)</f>
        <v>83333.333333333328</v>
      </c>
      <c r="V8" s="47">
        <f>IF(V$5=1,INDEX(Assumptions!$B$57:$F$57,1,V$5)*V$6/12,INDEX(Assumptions!$B$57:$F$57,1,V$5-1)+(INDEX(Assumptions!$B$57:$F$57,1,V$5)-INDEX(Assumptions!$B$57:$F$57,1,V$5-1))*V$6/12)</f>
        <v>86250</v>
      </c>
      <c r="W8" s="47">
        <f>IF(W$5=1,INDEX(Assumptions!$B$57:$F$57,1,W$5)*W$6/12,INDEX(Assumptions!$B$57:$F$57,1,W$5-1)+(INDEX(Assumptions!$B$57:$F$57,1,W$5)-INDEX(Assumptions!$B$57:$F$57,1,W$5-1))*W$6/12)</f>
        <v>89166.666666666672</v>
      </c>
      <c r="X8" s="47">
        <f>IF(X$5=1,INDEX(Assumptions!$B$57:$F$57,1,X$5)*X$6/12,INDEX(Assumptions!$B$57:$F$57,1,X$5-1)+(INDEX(Assumptions!$B$57:$F$57,1,X$5)-INDEX(Assumptions!$B$57:$F$57,1,X$5-1))*X$6/12)</f>
        <v>92083.333333333328</v>
      </c>
      <c r="Y8" s="47">
        <f>IF(Y$5=1,INDEX(Assumptions!$B$57:$F$57,1,Y$5)*Y$6/12,INDEX(Assumptions!$B$57:$F$57,1,Y$5-1)+(INDEX(Assumptions!$B$57:$F$57,1,Y$5)-INDEX(Assumptions!$B$57:$F$57,1,Y$5-1))*Y$6/12)</f>
        <v>95000</v>
      </c>
      <c r="Z8" s="47">
        <f>IF(Z$5=1,INDEX(Assumptions!$B$57:$F$57,1,Z$5)*Z$6/12,INDEX(Assumptions!$B$57:$F$57,1,Z$5-1)+(INDEX(Assumptions!$B$57:$F$57,1,Z$5)-INDEX(Assumptions!$B$57:$F$57,1,Z$5-1))*Z$6/12)</f>
        <v>98750</v>
      </c>
      <c r="AA8" s="47">
        <f>IF(AA$5=1,INDEX(Assumptions!$B$57:$F$57,1,AA$5)*AA$6/12,INDEX(Assumptions!$B$57:$F$57,1,AA$5-1)+(INDEX(Assumptions!$B$57:$F$57,1,AA$5)-INDEX(Assumptions!$B$57:$F$57,1,AA$5-1))*AA$6/12)</f>
        <v>102500</v>
      </c>
      <c r="AB8" s="47">
        <f>IF(AB$5=1,INDEX(Assumptions!$B$57:$F$57,1,AB$5)*AB$6/12,INDEX(Assumptions!$B$57:$F$57,1,AB$5-1)+(INDEX(Assumptions!$B$57:$F$57,1,AB$5)-INDEX(Assumptions!$B$57:$F$57,1,AB$5-1))*AB$6/12)</f>
        <v>106250</v>
      </c>
      <c r="AC8" s="47">
        <f>IF(AC$5=1,INDEX(Assumptions!$B$57:$F$57,1,AC$5)*AC$6/12,INDEX(Assumptions!$B$57:$F$57,1,AC$5-1)+(INDEX(Assumptions!$B$57:$F$57,1,AC$5)-INDEX(Assumptions!$B$57:$F$57,1,AC$5-1))*AC$6/12)</f>
        <v>110000</v>
      </c>
      <c r="AD8" s="47">
        <f>IF(AD$5=1,INDEX(Assumptions!$B$57:$F$57,1,AD$5)*AD$6/12,INDEX(Assumptions!$B$57:$F$57,1,AD$5-1)+(INDEX(Assumptions!$B$57:$F$57,1,AD$5)-INDEX(Assumptions!$B$57:$F$57,1,AD$5-1))*AD$6/12)</f>
        <v>113750</v>
      </c>
      <c r="AE8" s="47">
        <f>IF(AE$5=1,INDEX(Assumptions!$B$57:$F$57,1,AE$5)*AE$6/12,INDEX(Assumptions!$B$57:$F$57,1,AE$5-1)+(INDEX(Assumptions!$B$57:$F$57,1,AE$5)-INDEX(Assumptions!$B$57:$F$57,1,AE$5-1))*AE$6/12)</f>
        <v>117500</v>
      </c>
      <c r="AF8" s="47">
        <f>IF(AF$5=1,INDEX(Assumptions!$B$57:$F$57,1,AF$5)*AF$6/12,INDEX(Assumptions!$B$57:$F$57,1,AF$5-1)+(INDEX(Assumptions!$B$57:$F$57,1,AF$5)-INDEX(Assumptions!$B$57:$F$57,1,AF$5-1))*AF$6/12)</f>
        <v>121250</v>
      </c>
      <c r="AG8" s="47">
        <f>IF(AG$5=1,INDEX(Assumptions!$B$57:$F$57,1,AG$5)*AG$6/12,INDEX(Assumptions!$B$57:$F$57,1,AG$5-1)+(INDEX(Assumptions!$B$57:$F$57,1,AG$5)-INDEX(Assumptions!$B$57:$F$57,1,AG$5-1))*AG$6/12)</f>
        <v>125000</v>
      </c>
      <c r="AH8" s="47">
        <f>IF(AH$5=1,INDEX(Assumptions!$B$57:$F$57,1,AH$5)*AH$6/12,INDEX(Assumptions!$B$57:$F$57,1,AH$5-1)+(INDEX(Assumptions!$B$57:$F$57,1,AH$5)-INDEX(Assumptions!$B$57:$F$57,1,AH$5-1))*AH$6/12)</f>
        <v>128750</v>
      </c>
      <c r="AI8" s="47">
        <f>IF(AI$5=1,INDEX(Assumptions!$B$57:$F$57,1,AI$5)*AI$6/12,INDEX(Assumptions!$B$57:$F$57,1,AI$5-1)+(INDEX(Assumptions!$B$57:$F$57,1,AI$5)-INDEX(Assumptions!$B$57:$F$57,1,AI$5-1))*AI$6/12)</f>
        <v>132500</v>
      </c>
      <c r="AJ8" s="47">
        <f>IF(AJ$5=1,INDEX(Assumptions!$B$57:$F$57,1,AJ$5)*AJ$6/12,INDEX(Assumptions!$B$57:$F$57,1,AJ$5-1)+(INDEX(Assumptions!$B$57:$F$57,1,AJ$5)-INDEX(Assumptions!$B$57:$F$57,1,AJ$5-1))*AJ$6/12)</f>
        <v>136250</v>
      </c>
      <c r="AK8" s="47">
        <f>IF(AK$5=1,INDEX(Assumptions!$B$57:$F$57,1,AK$5)*AK$6/12,INDEX(Assumptions!$B$57:$F$57,1,AK$5-1)+(INDEX(Assumptions!$B$57:$F$57,1,AK$5)-INDEX(Assumptions!$B$57:$F$57,1,AK$5-1))*AK$6/12)</f>
        <v>140000</v>
      </c>
      <c r="AL8" s="47">
        <f>IF(AL$5=1,INDEX(Assumptions!$B$57:$F$57,1,AL$5)*AL$6/12,INDEX(Assumptions!$B$57:$F$57,1,AL$5-1)+(INDEX(Assumptions!$B$57:$F$57,1,AL$5)-INDEX(Assumptions!$B$57:$F$57,1,AL$5-1))*AL$6/12)</f>
        <v>145000</v>
      </c>
      <c r="AM8" s="47">
        <f>IF(AM$5=1,INDEX(Assumptions!$B$57:$F$57,1,AM$5)*AM$6/12,INDEX(Assumptions!$B$57:$F$57,1,AM$5-1)+(INDEX(Assumptions!$B$57:$F$57,1,AM$5)-INDEX(Assumptions!$B$57:$F$57,1,AM$5-1))*AM$6/12)</f>
        <v>150000</v>
      </c>
      <c r="AN8" s="47">
        <f>IF(AN$5=1,INDEX(Assumptions!$B$57:$F$57,1,AN$5)*AN$6/12,INDEX(Assumptions!$B$57:$F$57,1,AN$5-1)+(INDEX(Assumptions!$B$57:$F$57,1,AN$5)-INDEX(Assumptions!$B$57:$F$57,1,AN$5-1))*AN$6/12)</f>
        <v>155000</v>
      </c>
      <c r="AO8" s="47">
        <f>IF(AO$5=1,INDEX(Assumptions!$B$57:$F$57,1,AO$5)*AO$6/12,INDEX(Assumptions!$B$57:$F$57,1,AO$5-1)+(INDEX(Assumptions!$B$57:$F$57,1,AO$5)-INDEX(Assumptions!$B$57:$F$57,1,AO$5-1))*AO$6/12)</f>
        <v>160000</v>
      </c>
      <c r="AP8" s="47">
        <f>IF(AP$5=1,INDEX(Assumptions!$B$57:$F$57,1,AP$5)*AP$6/12,INDEX(Assumptions!$B$57:$F$57,1,AP$5-1)+(INDEX(Assumptions!$B$57:$F$57,1,AP$5)-INDEX(Assumptions!$B$57:$F$57,1,AP$5-1))*AP$6/12)</f>
        <v>165000</v>
      </c>
      <c r="AQ8" s="47">
        <f>IF(AQ$5=1,INDEX(Assumptions!$B$57:$F$57,1,AQ$5)*AQ$6/12,INDEX(Assumptions!$B$57:$F$57,1,AQ$5-1)+(INDEX(Assumptions!$B$57:$F$57,1,AQ$5)-INDEX(Assumptions!$B$57:$F$57,1,AQ$5-1))*AQ$6/12)</f>
        <v>170000</v>
      </c>
      <c r="AR8" s="47">
        <f>IF(AR$5=1,INDEX(Assumptions!$B$57:$F$57,1,AR$5)*AR$6/12,INDEX(Assumptions!$B$57:$F$57,1,AR$5-1)+(INDEX(Assumptions!$B$57:$F$57,1,AR$5)-INDEX(Assumptions!$B$57:$F$57,1,AR$5-1))*AR$6/12)</f>
        <v>175000</v>
      </c>
      <c r="AS8" s="47">
        <f>IF(AS$5=1,INDEX(Assumptions!$B$57:$F$57,1,AS$5)*AS$6/12,INDEX(Assumptions!$B$57:$F$57,1,AS$5-1)+(INDEX(Assumptions!$B$57:$F$57,1,AS$5)-INDEX(Assumptions!$B$57:$F$57,1,AS$5-1))*AS$6/12)</f>
        <v>180000</v>
      </c>
      <c r="AT8" s="47">
        <f>IF(AT$5=1,INDEX(Assumptions!$B$57:$F$57,1,AT$5)*AT$6/12,INDEX(Assumptions!$B$57:$F$57,1,AT$5-1)+(INDEX(Assumptions!$B$57:$F$57,1,AT$5)-INDEX(Assumptions!$B$57:$F$57,1,AT$5-1))*AT$6/12)</f>
        <v>185000</v>
      </c>
      <c r="AU8" s="47">
        <f>IF(AU$5=1,INDEX(Assumptions!$B$57:$F$57,1,AU$5)*AU$6/12,INDEX(Assumptions!$B$57:$F$57,1,AU$5-1)+(INDEX(Assumptions!$B$57:$F$57,1,AU$5)-INDEX(Assumptions!$B$57:$F$57,1,AU$5-1))*AU$6/12)</f>
        <v>190000</v>
      </c>
      <c r="AV8" s="47">
        <f>IF(AV$5=1,INDEX(Assumptions!$B$57:$F$57,1,AV$5)*AV$6/12,INDEX(Assumptions!$B$57:$F$57,1,AV$5-1)+(INDEX(Assumptions!$B$57:$F$57,1,AV$5)-INDEX(Assumptions!$B$57:$F$57,1,AV$5-1))*AV$6/12)</f>
        <v>195000</v>
      </c>
      <c r="AW8" s="47">
        <f>IF(AW$5=1,INDEX(Assumptions!$B$57:$F$57,1,AW$5)*AW$6/12,INDEX(Assumptions!$B$57:$F$57,1,AW$5-1)+(INDEX(Assumptions!$B$57:$F$57,1,AW$5)-INDEX(Assumptions!$B$57:$F$57,1,AW$5-1))*AW$6/12)</f>
        <v>200000</v>
      </c>
      <c r="AX8" s="47">
        <f>IF(AX$5=1,INDEX(Assumptions!$B$57:$F$57,1,AX$5)*AX$6/12,INDEX(Assumptions!$B$57:$F$57,1,AX$5-1)+(INDEX(Assumptions!$B$57:$F$57,1,AX$5)-INDEX(Assumptions!$B$57:$F$57,1,AX$5-1))*AX$6/12)</f>
        <v>205000</v>
      </c>
      <c r="AY8" s="47">
        <f>IF(AY$5=1,INDEX(Assumptions!$B$57:$F$57,1,AY$5)*AY$6/12,INDEX(Assumptions!$B$57:$F$57,1,AY$5-1)+(INDEX(Assumptions!$B$57:$F$57,1,AY$5)-INDEX(Assumptions!$B$57:$F$57,1,AY$5-1))*AY$6/12)</f>
        <v>210000</v>
      </c>
      <c r="AZ8" s="47">
        <f>IF(AZ$5=1,INDEX(Assumptions!$B$57:$F$57,1,AZ$5)*AZ$6/12,INDEX(Assumptions!$B$57:$F$57,1,AZ$5-1)+(INDEX(Assumptions!$B$57:$F$57,1,AZ$5)-INDEX(Assumptions!$B$57:$F$57,1,AZ$5-1))*AZ$6/12)</f>
        <v>215000</v>
      </c>
      <c r="BA8" s="47">
        <f>IF(BA$5=1,INDEX(Assumptions!$B$57:$F$57,1,BA$5)*BA$6/12,INDEX(Assumptions!$B$57:$F$57,1,BA$5-1)+(INDEX(Assumptions!$B$57:$F$57,1,BA$5)-INDEX(Assumptions!$B$57:$F$57,1,BA$5-1))*BA$6/12)</f>
        <v>220000</v>
      </c>
      <c r="BB8" s="47">
        <f>IF(BB$5=1,INDEX(Assumptions!$B$57:$F$57,1,BB$5)*BB$6/12,INDEX(Assumptions!$B$57:$F$57,1,BB$5-1)+(INDEX(Assumptions!$B$57:$F$57,1,BB$5)-INDEX(Assumptions!$B$57:$F$57,1,BB$5-1))*BB$6/12)</f>
        <v>225000</v>
      </c>
      <c r="BC8" s="47">
        <f>IF(BC$5=1,INDEX(Assumptions!$B$57:$F$57,1,BC$5)*BC$6/12,INDEX(Assumptions!$B$57:$F$57,1,BC$5-1)+(INDEX(Assumptions!$B$57:$F$57,1,BC$5)-INDEX(Assumptions!$B$57:$F$57,1,BC$5-1))*BC$6/12)</f>
        <v>230000</v>
      </c>
      <c r="BD8" s="47">
        <f>IF(BD$5=1,INDEX(Assumptions!$B$57:$F$57,1,BD$5)*BD$6/12,INDEX(Assumptions!$B$57:$F$57,1,BD$5-1)+(INDEX(Assumptions!$B$57:$F$57,1,BD$5)-INDEX(Assumptions!$B$57:$F$57,1,BD$5-1))*BD$6/12)</f>
        <v>235000</v>
      </c>
      <c r="BE8" s="47">
        <f>IF(BE$5=1,INDEX(Assumptions!$B$57:$F$57,1,BE$5)*BE$6/12,INDEX(Assumptions!$B$57:$F$57,1,BE$5-1)+(INDEX(Assumptions!$B$57:$F$57,1,BE$5)-INDEX(Assumptions!$B$57:$F$57,1,BE$5-1))*BE$6/12)</f>
        <v>240000</v>
      </c>
      <c r="BF8" s="47">
        <f>IF(BF$5=1,INDEX(Assumptions!$B$57:$F$57,1,BF$5)*BF$6/12,INDEX(Assumptions!$B$57:$F$57,1,BF$5-1)+(INDEX(Assumptions!$B$57:$F$57,1,BF$5)-INDEX(Assumptions!$B$57:$F$57,1,BF$5-1))*BF$6/12)</f>
        <v>245000</v>
      </c>
      <c r="BG8" s="47">
        <f>IF(BG$5=1,INDEX(Assumptions!$B$57:$F$57,1,BG$5)*BG$6/12,INDEX(Assumptions!$B$57:$F$57,1,BG$5-1)+(INDEX(Assumptions!$B$57:$F$57,1,BG$5)-INDEX(Assumptions!$B$57:$F$57,1,BG$5-1))*BG$6/12)</f>
        <v>250000</v>
      </c>
      <c r="BH8" s="47">
        <f>IF(BH$5=1,INDEX(Assumptions!$B$57:$F$57,1,BH$5)*BH$6/12,INDEX(Assumptions!$B$57:$F$57,1,BH$5-1)+(INDEX(Assumptions!$B$57:$F$57,1,BH$5)-INDEX(Assumptions!$B$57:$F$57,1,BH$5-1))*BH$6/12)</f>
        <v>255000</v>
      </c>
      <c r="BI8" s="48">
        <f>IF(BI$5=1,INDEX(Assumptions!$B$57:$F$57,1,BI$5)*BI$6/12,INDEX(Assumptions!$B$57:$F$57,1,BI$5-1)+(INDEX(Assumptions!$B$57:$F$57,1,BI$5)-INDEX(Assumptions!$B$57:$F$57,1,BI$5-1))*BI$6/12)</f>
        <v>260000</v>
      </c>
    </row>
    <row r="9" spans="1:61" ht="15">
      <c r="A9" s="36" t="s">
        <v>282</v>
      </c>
      <c r="B9" s="47">
        <f>B8</f>
        <v>5000</v>
      </c>
      <c r="C9" s="47">
        <f t="shared" ref="C9:AH9" si="4">MAX(0,C8-B8)</f>
        <v>5000</v>
      </c>
      <c r="D9" s="47">
        <f t="shared" si="4"/>
        <v>5000</v>
      </c>
      <c r="E9" s="47">
        <f t="shared" si="4"/>
        <v>5000</v>
      </c>
      <c r="F9" s="47">
        <f t="shared" si="4"/>
        <v>5000</v>
      </c>
      <c r="G9" s="47">
        <f t="shared" si="4"/>
        <v>5000</v>
      </c>
      <c r="H9" s="47">
        <f t="shared" si="4"/>
        <v>5000</v>
      </c>
      <c r="I9" s="47">
        <f t="shared" si="4"/>
        <v>5000</v>
      </c>
      <c r="J9" s="47">
        <f t="shared" si="4"/>
        <v>5000</v>
      </c>
      <c r="K9" s="47">
        <f t="shared" si="4"/>
        <v>5000</v>
      </c>
      <c r="L9" s="47">
        <f t="shared" si="4"/>
        <v>5000</v>
      </c>
      <c r="M9" s="47">
        <f t="shared" si="4"/>
        <v>5000</v>
      </c>
      <c r="N9" s="47">
        <f t="shared" si="4"/>
        <v>2916.6666666666642</v>
      </c>
      <c r="O9" s="47">
        <f t="shared" si="4"/>
        <v>2916.6666666666642</v>
      </c>
      <c r="P9" s="47">
        <f t="shared" si="4"/>
        <v>2916.6666666666715</v>
      </c>
      <c r="Q9" s="47">
        <f t="shared" si="4"/>
        <v>2916.6666666666715</v>
      </c>
      <c r="R9" s="47">
        <f t="shared" si="4"/>
        <v>2916.666666666657</v>
      </c>
      <c r="S9" s="47">
        <f t="shared" si="4"/>
        <v>2916.6666666666715</v>
      </c>
      <c r="T9" s="47">
        <f t="shared" si="4"/>
        <v>2916.6666666666715</v>
      </c>
      <c r="U9" s="47">
        <f t="shared" si="4"/>
        <v>2916.666666666657</v>
      </c>
      <c r="V9" s="47">
        <f t="shared" si="4"/>
        <v>2916.6666666666715</v>
      </c>
      <c r="W9" s="47">
        <f t="shared" si="4"/>
        <v>2916.6666666666715</v>
      </c>
      <c r="X9" s="47">
        <f t="shared" si="4"/>
        <v>2916.666666666657</v>
      </c>
      <c r="Y9" s="47">
        <f t="shared" si="4"/>
        <v>2916.6666666666715</v>
      </c>
      <c r="Z9" s="47">
        <f t="shared" si="4"/>
        <v>3750</v>
      </c>
      <c r="AA9" s="47">
        <f t="shared" si="4"/>
        <v>3750</v>
      </c>
      <c r="AB9" s="47">
        <f t="shared" si="4"/>
        <v>3750</v>
      </c>
      <c r="AC9" s="47">
        <f t="shared" si="4"/>
        <v>3750</v>
      </c>
      <c r="AD9" s="47">
        <f t="shared" si="4"/>
        <v>3750</v>
      </c>
      <c r="AE9" s="47">
        <f t="shared" si="4"/>
        <v>3750</v>
      </c>
      <c r="AF9" s="47">
        <f t="shared" si="4"/>
        <v>3750</v>
      </c>
      <c r="AG9" s="47">
        <f t="shared" si="4"/>
        <v>3750</v>
      </c>
      <c r="AH9" s="47">
        <f t="shared" si="4"/>
        <v>3750</v>
      </c>
      <c r="AI9" s="47">
        <f t="shared" ref="AI9:BI9" si="5">MAX(0,AI8-AH8)</f>
        <v>3750</v>
      </c>
      <c r="AJ9" s="47">
        <f t="shared" si="5"/>
        <v>3750</v>
      </c>
      <c r="AK9" s="47">
        <f t="shared" si="5"/>
        <v>3750</v>
      </c>
      <c r="AL9" s="47">
        <f t="shared" si="5"/>
        <v>5000</v>
      </c>
      <c r="AM9" s="47">
        <f t="shared" si="5"/>
        <v>5000</v>
      </c>
      <c r="AN9" s="47">
        <f t="shared" si="5"/>
        <v>5000</v>
      </c>
      <c r="AO9" s="47">
        <f t="shared" si="5"/>
        <v>5000</v>
      </c>
      <c r="AP9" s="47">
        <f t="shared" si="5"/>
        <v>5000</v>
      </c>
      <c r="AQ9" s="47">
        <f t="shared" si="5"/>
        <v>5000</v>
      </c>
      <c r="AR9" s="47">
        <f t="shared" si="5"/>
        <v>5000</v>
      </c>
      <c r="AS9" s="47">
        <f t="shared" si="5"/>
        <v>5000</v>
      </c>
      <c r="AT9" s="47">
        <f t="shared" si="5"/>
        <v>5000</v>
      </c>
      <c r="AU9" s="47">
        <f t="shared" si="5"/>
        <v>5000</v>
      </c>
      <c r="AV9" s="47">
        <f t="shared" si="5"/>
        <v>5000</v>
      </c>
      <c r="AW9" s="47">
        <f t="shared" si="5"/>
        <v>5000</v>
      </c>
      <c r="AX9" s="47">
        <f t="shared" si="5"/>
        <v>5000</v>
      </c>
      <c r="AY9" s="47">
        <f t="shared" si="5"/>
        <v>5000</v>
      </c>
      <c r="AZ9" s="47">
        <f t="shared" si="5"/>
        <v>5000</v>
      </c>
      <c r="BA9" s="47">
        <f t="shared" si="5"/>
        <v>5000</v>
      </c>
      <c r="BB9" s="47">
        <f t="shared" si="5"/>
        <v>5000</v>
      </c>
      <c r="BC9" s="47">
        <f t="shared" si="5"/>
        <v>5000</v>
      </c>
      <c r="BD9" s="47">
        <f t="shared" si="5"/>
        <v>5000</v>
      </c>
      <c r="BE9" s="47">
        <f t="shared" si="5"/>
        <v>5000</v>
      </c>
      <c r="BF9" s="47">
        <f t="shared" si="5"/>
        <v>5000</v>
      </c>
      <c r="BG9" s="47">
        <f t="shared" si="5"/>
        <v>5000</v>
      </c>
      <c r="BH9" s="47">
        <f t="shared" si="5"/>
        <v>5000</v>
      </c>
      <c r="BI9" s="48">
        <f t="shared" si="5"/>
        <v>5000</v>
      </c>
    </row>
    <row r="10" spans="1:61" ht="27.75" customHeight="1">
      <c r="A10" s="36" t="s">
        <v>283</v>
      </c>
      <c r="B10" s="47">
        <f>INDEX(Assumptions!$B$58:$F$58,1,B$5)</f>
        <v>5240</v>
      </c>
      <c r="C10" s="47">
        <f>INDEX(Assumptions!$B$58:$F$58,1,C$5)</f>
        <v>5240</v>
      </c>
      <c r="D10" s="47">
        <f>INDEX(Assumptions!$B$58:$F$58,1,D$5)</f>
        <v>5240</v>
      </c>
      <c r="E10" s="47">
        <f>INDEX(Assumptions!$B$58:$F$58,1,E$5)</f>
        <v>5240</v>
      </c>
      <c r="F10" s="47">
        <f>INDEX(Assumptions!$B$58:$F$58,1,F$5)</f>
        <v>5240</v>
      </c>
      <c r="G10" s="47">
        <f>INDEX(Assumptions!$B$58:$F$58,1,G$5)</f>
        <v>5240</v>
      </c>
      <c r="H10" s="47">
        <f>INDEX(Assumptions!$B$58:$F$58,1,H$5)</f>
        <v>5240</v>
      </c>
      <c r="I10" s="47">
        <f>INDEX(Assumptions!$B$58:$F$58,1,I$5)</f>
        <v>5240</v>
      </c>
      <c r="J10" s="47">
        <f>INDEX(Assumptions!$B$58:$F$58,1,J$5)</f>
        <v>5240</v>
      </c>
      <c r="K10" s="47">
        <f>INDEX(Assumptions!$B$58:$F$58,1,K$5)</f>
        <v>5240</v>
      </c>
      <c r="L10" s="47">
        <f>INDEX(Assumptions!$B$58:$F$58,1,L$5)</f>
        <v>5240</v>
      </c>
      <c r="M10" s="47">
        <f>INDEX(Assumptions!$B$58:$F$58,1,M$5)</f>
        <v>5240</v>
      </c>
      <c r="N10" s="47">
        <f>INDEX(Assumptions!$B$58:$F$58,1,N$5)</f>
        <v>5397</v>
      </c>
      <c r="O10" s="47">
        <f>INDEX(Assumptions!$B$58:$F$58,1,O$5)</f>
        <v>5397</v>
      </c>
      <c r="P10" s="47">
        <f>INDEX(Assumptions!$B$58:$F$58,1,P$5)</f>
        <v>5397</v>
      </c>
      <c r="Q10" s="47">
        <f>INDEX(Assumptions!$B$58:$F$58,1,Q$5)</f>
        <v>5397</v>
      </c>
      <c r="R10" s="47">
        <f>INDEX(Assumptions!$B$58:$F$58,1,R$5)</f>
        <v>5397</v>
      </c>
      <c r="S10" s="47">
        <f>INDEX(Assumptions!$B$58:$F$58,1,S$5)</f>
        <v>5397</v>
      </c>
      <c r="T10" s="47">
        <f>INDEX(Assumptions!$B$58:$F$58,1,T$5)</f>
        <v>5397</v>
      </c>
      <c r="U10" s="47">
        <f>INDEX(Assumptions!$B$58:$F$58,1,U$5)</f>
        <v>5397</v>
      </c>
      <c r="V10" s="47">
        <f>INDEX(Assumptions!$B$58:$F$58,1,V$5)</f>
        <v>5397</v>
      </c>
      <c r="W10" s="47">
        <f>INDEX(Assumptions!$B$58:$F$58,1,W$5)</f>
        <v>5397</v>
      </c>
      <c r="X10" s="47">
        <f>INDEX(Assumptions!$B$58:$F$58,1,X$5)</f>
        <v>5397</v>
      </c>
      <c r="Y10" s="47">
        <f>INDEX(Assumptions!$B$58:$F$58,1,Y$5)</f>
        <v>5397</v>
      </c>
      <c r="Z10" s="47">
        <f>INDEX(Assumptions!$B$58:$F$58,1,Z$5)</f>
        <v>5559</v>
      </c>
      <c r="AA10" s="47">
        <f>INDEX(Assumptions!$B$58:$F$58,1,AA$5)</f>
        <v>5559</v>
      </c>
      <c r="AB10" s="47">
        <f>INDEX(Assumptions!$B$58:$F$58,1,AB$5)</f>
        <v>5559</v>
      </c>
      <c r="AC10" s="47">
        <f>INDEX(Assumptions!$B$58:$F$58,1,AC$5)</f>
        <v>5559</v>
      </c>
      <c r="AD10" s="47">
        <f>INDEX(Assumptions!$B$58:$F$58,1,AD$5)</f>
        <v>5559</v>
      </c>
      <c r="AE10" s="47">
        <f>INDEX(Assumptions!$B$58:$F$58,1,AE$5)</f>
        <v>5559</v>
      </c>
      <c r="AF10" s="47">
        <f>INDEX(Assumptions!$B$58:$F$58,1,AF$5)</f>
        <v>5559</v>
      </c>
      <c r="AG10" s="47">
        <f>INDEX(Assumptions!$B$58:$F$58,1,AG$5)</f>
        <v>5559</v>
      </c>
      <c r="AH10" s="47">
        <f>INDEX(Assumptions!$B$58:$F$58,1,AH$5)</f>
        <v>5559</v>
      </c>
      <c r="AI10" s="47">
        <f>INDEX(Assumptions!$B$58:$F$58,1,AI$5)</f>
        <v>5559</v>
      </c>
      <c r="AJ10" s="47">
        <f>INDEX(Assumptions!$B$58:$F$58,1,AJ$5)</f>
        <v>5559</v>
      </c>
      <c r="AK10" s="47">
        <f>INDEX(Assumptions!$B$58:$F$58,1,AK$5)</f>
        <v>5559</v>
      </c>
      <c r="AL10" s="47">
        <f>INDEX(Assumptions!$B$58:$F$58,1,AL$5)</f>
        <v>5726</v>
      </c>
      <c r="AM10" s="47">
        <f>INDEX(Assumptions!$B$58:$F$58,1,AM$5)</f>
        <v>5726</v>
      </c>
      <c r="AN10" s="47">
        <f>INDEX(Assumptions!$B$58:$F$58,1,AN$5)</f>
        <v>5726</v>
      </c>
      <c r="AO10" s="47">
        <f>INDEX(Assumptions!$B$58:$F$58,1,AO$5)</f>
        <v>5726</v>
      </c>
      <c r="AP10" s="47">
        <f>INDEX(Assumptions!$B$58:$F$58,1,AP$5)</f>
        <v>5726</v>
      </c>
      <c r="AQ10" s="47">
        <f>INDEX(Assumptions!$B$58:$F$58,1,AQ$5)</f>
        <v>5726</v>
      </c>
      <c r="AR10" s="47">
        <f>INDEX(Assumptions!$B$58:$F$58,1,AR$5)</f>
        <v>5726</v>
      </c>
      <c r="AS10" s="47">
        <f>INDEX(Assumptions!$B$58:$F$58,1,AS$5)</f>
        <v>5726</v>
      </c>
      <c r="AT10" s="47">
        <f>INDEX(Assumptions!$B$58:$F$58,1,AT$5)</f>
        <v>5726</v>
      </c>
      <c r="AU10" s="47">
        <f>INDEX(Assumptions!$B$58:$F$58,1,AU$5)</f>
        <v>5726</v>
      </c>
      <c r="AV10" s="47">
        <f>INDEX(Assumptions!$B$58:$F$58,1,AV$5)</f>
        <v>5726</v>
      </c>
      <c r="AW10" s="47">
        <f>INDEX(Assumptions!$B$58:$F$58,1,AW$5)</f>
        <v>5726</v>
      </c>
      <c r="AX10" s="47">
        <f>INDEX(Assumptions!$B$58:$F$58,1,AX$5)</f>
        <v>5898</v>
      </c>
      <c r="AY10" s="47">
        <f>INDEX(Assumptions!$B$58:$F$58,1,AY$5)</f>
        <v>5898</v>
      </c>
      <c r="AZ10" s="47">
        <f>INDEX(Assumptions!$B$58:$F$58,1,AZ$5)</f>
        <v>5898</v>
      </c>
      <c r="BA10" s="47">
        <f>INDEX(Assumptions!$B$58:$F$58,1,BA$5)</f>
        <v>5898</v>
      </c>
      <c r="BB10" s="47">
        <f>INDEX(Assumptions!$B$58:$F$58,1,BB$5)</f>
        <v>5898</v>
      </c>
      <c r="BC10" s="47">
        <f>INDEX(Assumptions!$B$58:$F$58,1,BC$5)</f>
        <v>5898</v>
      </c>
      <c r="BD10" s="47">
        <f>INDEX(Assumptions!$B$58:$F$58,1,BD$5)</f>
        <v>5898</v>
      </c>
      <c r="BE10" s="47">
        <f>INDEX(Assumptions!$B$58:$F$58,1,BE$5)</f>
        <v>5898</v>
      </c>
      <c r="BF10" s="47">
        <f>INDEX(Assumptions!$B$58:$F$58,1,BF$5)</f>
        <v>5898</v>
      </c>
      <c r="BG10" s="47">
        <f>INDEX(Assumptions!$B$58:$F$58,1,BG$5)</f>
        <v>5898</v>
      </c>
      <c r="BH10" s="47">
        <f>INDEX(Assumptions!$B$58:$F$58,1,BH$5)</f>
        <v>5898</v>
      </c>
      <c r="BI10" s="48">
        <f>INDEX(Assumptions!$B$58:$F$58,1,BI$5)</f>
        <v>5898</v>
      </c>
    </row>
    <row r="11" spans="1:61" ht="15">
      <c r="A11" s="36" t="s">
        <v>284</v>
      </c>
      <c r="B11" s="47">
        <f t="shared" ref="B11:AG11" si="6">B8*B10/1000000000</f>
        <v>2.6200000000000001E-2</v>
      </c>
      <c r="C11" s="47">
        <f t="shared" si="6"/>
        <v>5.2400000000000002E-2</v>
      </c>
      <c r="D11" s="47">
        <f t="shared" si="6"/>
        <v>7.8600000000000003E-2</v>
      </c>
      <c r="E11" s="47">
        <f t="shared" si="6"/>
        <v>0.1048</v>
      </c>
      <c r="F11" s="47">
        <f t="shared" si="6"/>
        <v>0.13100000000000001</v>
      </c>
      <c r="G11" s="47">
        <f t="shared" si="6"/>
        <v>0.15720000000000001</v>
      </c>
      <c r="H11" s="47">
        <f t="shared" si="6"/>
        <v>0.18340000000000001</v>
      </c>
      <c r="I11" s="47">
        <f t="shared" si="6"/>
        <v>0.20960000000000001</v>
      </c>
      <c r="J11" s="47">
        <f t="shared" si="6"/>
        <v>0.23580000000000001</v>
      </c>
      <c r="K11" s="47">
        <f t="shared" si="6"/>
        <v>0.26200000000000001</v>
      </c>
      <c r="L11" s="47">
        <f t="shared" si="6"/>
        <v>0.28820000000000001</v>
      </c>
      <c r="M11" s="47">
        <f t="shared" si="6"/>
        <v>0.31440000000000001</v>
      </c>
      <c r="N11" s="47">
        <f t="shared" si="6"/>
        <v>0.33956124999999998</v>
      </c>
      <c r="O11" s="47">
        <f t="shared" si="6"/>
        <v>0.35530250000000002</v>
      </c>
      <c r="P11" s="47">
        <f t="shared" si="6"/>
        <v>0.37104375000000001</v>
      </c>
      <c r="Q11" s="47">
        <f t="shared" si="6"/>
        <v>0.38678499999999999</v>
      </c>
      <c r="R11" s="47">
        <f t="shared" si="6"/>
        <v>0.40252624999999997</v>
      </c>
      <c r="S11" s="47">
        <f t="shared" si="6"/>
        <v>0.41826750000000001</v>
      </c>
      <c r="T11" s="47">
        <f t="shared" si="6"/>
        <v>0.43400875</v>
      </c>
      <c r="U11" s="47">
        <f t="shared" si="6"/>
        <v>0.44974999999999998</v>
      </c>
      <c r="V11" s="47">
        <f t="shared" si="6"/>
        <v>0.46549125000000002</v>
      </c>
      <c r="W11" s="47">
        <f t="shared" si="6"/>
        <v>0.48123250000000001</v>
      </c>
      <c r="X11" s="47">
        <f t="shared" si="6"/>
        <v>0.49697374999999999</v>
      </c>
      <c r="Y11" s="47">
        <f t="shared" si="6"/>
        <v>0.51271500000000003</v>
      </c>
      <c r="Z11" s="47">
        <f t="shared" si="6"/>
        <v>0.54895125</v>
      </c>
      <c r="AA11" s="47">
        <f t="shared" si="6"/>
        <v>0.56979749999999996</v>
      </c>
      <c r="AB11" s="47">
        <f t="shared" si="6"/>
        <v>0.59064375000000002</v>
      </c>
      <c r="AC11" s="47">
        <f t="shared" si="6"/>
        <v>0.61148999999999998</v>
      </c>
      <c r="AD11" s="47">
        <f t="shared" si="6"/>
        <v>0.63233625000000004</v>
      </c>
      <c r="AE11" s="47">
        <f t="shared" si="6"/>
        <v>0.6531825</v>
      </c>
      <c r="AF11" s="47">
        <f t="shared" si="6"/>
        <v>0.67402874999999995</v>
      </c>
      <c r="AG11" s="47">
        <f t="shared" si="6"/>
        <v>0.69487500000000002</v>
      </c>
      <c r="AH11" s="47">
        <f t="shared" ref="AH11:BI11" si="7">AH8*AH10/1000000000</f>
        <v>0.71572124999999998</v>
      </c>
      <c r="AI11" s="47">
        <f t="shared" si="7"/>
        <v>0.73656750000000004</v>
      </c>
      <c r="AJ11" s="47">
        <f t="shared" si="7"/>
        <v>0.75741375</v>
      </c>
      <c r="AK11" s="47">
        <f t="shared" si="7"/>
        <v>0.77825999999999995</v>
      </c>
      <c r="AL11" s="47">
        <f t="shared" si="7"/>
        <v>0.83026999999999995</v>
      </c>
      <c r="AM11" s="47">
        <f t="shared" si="7"/>
        <v>0.8589</v>
      </c>
      <c r="AN11" s="47">
        <f t="shared" si="7"/>
        <v>0.88753000000000004</v>
      </c>
      <c r="AO11" s="47">
        <f t="shared" si="7"/>
        <v>0.91615999999999997</v>
      </c>
      <c r="AP11" s="47">
        <f t="shared" si="7"/>
        <v>0.94479000000000002</v>
      </c>
      <c r="AQ11" s="47">
        <f t="shared" si="7"/>
        <v>0.97341999999999995</v>
      </c>
      <c r="AR11" s="47">
        <f t="shared" si="7"/>
        <v>1.0020500000000001</v>
      </c>
      <c r="AS11" s="47">
        <f t="shared" si="7"/>
        <v>1.03068</v>
      </c>
      <c r="AT11" s="47">
        <f t="shared" si="7"/>
        <v>1.05931</v>
      </c>
      <c r="AU11" s="47">
        <f t="shared" si="7"/>
        <v>1.0879399999999999</v>
      </c>
      <c r="AV11" s="47">
        <f t="shared" si="7"/>
        <v>1.1165700000000001</v>
      </c>
      <c r="AW11" s="47">
        <f t="shared" si="7"/>
        <v>1.1452</v>
      </c>
      <c r="AX11" s="47">
        <f t="shared" si="7"/>
        <v>1.20909</v>
      </c>
      <c r="AY11" s="47">
        <f t="shared" si="7"/>
        <v>1.23858</v>
      </c>
      <c r="AZ11" s="47">
        <f t="shared" si="7"/>
        <v>1.26807</v>
      </c>
      <c r="BA11" s="47">
        <f t="shared" si="7"/>
        <v>1.29756</v>
      </c>
      <c r="BB11" s="47">
        <f t="shared" si="7"/>
        <v>1.3270500000000001</v>
      </c>
      <c r="BC11" s="47">
        <f t="shared" si="7"/>
        <v>1.3565400000000001</v>
      </c>
      <c r="BD11" s="47">
        <f t="shared" si="7"/>
        <v>1.3860300000000001</v>
      </c>
      <c r="BE11" s="47">
        <f t="shared" si="7"/>
        <v>1.4155199999999999</v>
      </c>
      <c r="BF11" s="47">
        <f t="shared" si="7"/>
        <v>1.4450099999999999</v>
      </c>
      <c r="BG11" s="47">
        <f t="shared" si="7"/>
        <v>1.4744999999999999</v>
      </c>
      <c r="BH11" s="47">
        <f t="shared" si="7"/>
        <v>1.5039899999999999</v>
      </c>
      <c r="BI11" s="48">
        <f t="shared" si="7"/>
        <v>1.53348</v>
      </c>
    </row>
    <row r="12" spans="1:61" ht="15">
      <c r="A12" s="36" t="s">
        <v>285</v>
      </c>
      <c r="B12" s="47">
        <f>INDEX(Assumptions!$B$59:$F$59,1,B$5)</f>
        <v>800000</v>
      </c>
      <c r="C12" s="47">
        <f>INDEX(Assumptions!$B$59:$F$59,1,C$5)</f>
        <v>800000</v>
      </c>
      <c r="D12" s="47">
        <f>INDEX(Assumptions!$B$59:$F$59,1,D$5)</f>
        <v>800000</v>
      </c>
      <c r="E12" s="47">
        <f>INDEX(Assumptions!$B$59:$F$59,1,E$5)</f>
        <v>800000</v>
      </c>
      <c r="F12" s="47">
        <f>INDEX(Assumptions!$B$59:$F$59,1,F$5)</f>
        <v>800000</v>
      </c>
      <c r="G12" s="47">
        <f>INDEX(Assumptions!$B$59:$F$59,1,G$5)</f>
        <v>800000</v>
      </c>
      <c r="H12" s="47">
        <f>INDEX(Assumptions!$B$59:$F$59,1,H$5)</f>
        <v>800000</v>
      </c>
      <c r="I12" s="47">
        <f>INDEX(Assumptions!$B$59:$F$59,1,I$5)</f>
        <v>800000</v>
      </c>
      <c r="J12" s="47">
        <f>INDEX(Assumptions!$B$59:$F$59,1,J$5)</f>
        <v>800000</v>
      </c>
      <c r="K12" s="47">
        <f>INDEX(Assumptions!$B$59:$F$59,1,K$5)</f>
        <v>800000</v>
      </c>
      <c r="L12" s="47">
        <f>INDEX(Assumptions!$B$59:$F$59,1,L$5)</f>
        <v>800000</v>
      </c>
      <c r="M12" s="47">
        <f>INDEX(Assumptions!$B$59:$F$59,1,M$5)</f>
        <v>800000</v>
      </c>
      <c r="N12" s="47">
        <f>INDEX(Assumptions!$B$59:$F$59,1,N$5)</f>
        <v>900000</v>
      </c>
      <c r="O12" s="47">
        <f>INDEX(Assumptions!$B$59:$F$59,1,O$5)</f>
        <v>900000</v>
      </c>
      <c r="P12" s="47">
        <f>INDEX(Assumptions!$B$59:$F$59,1,P$5)</f>
        <v>900000</v>
      </c>
      <c r="Q12" s="47">
        <f>INDEX(Assumptions!$B$59:$F$59,1,Q$5)</f>
        <v>900000</v>
      </c>
      <c r="R12" s="47">
        <f>INDEX(Assumptions!$B$59:$F$59,1,R$5)</f>
        <v>900000</v>
      </c>
      <c r="S12" s="47">
        <f>INDEX(Assumptions!$B$59:$F$59,1,S$5)</f>
        <v>900000</v>
      </c>
      <c r="T12" s="47">
        <f>INDEX(Assumptions!$B$59:$F$59,1,T$5)</f>
        <v>900000</v>
      </c>
      <c r="U12" s="47">
        <f>INDEX(Assumptions!$B$59:$F$59,1,U$5)</f>
        <v>900000</v>
      </c>
      <c r="V12" s="47">
        <f>INDEX(Assumptions!$B$59:$F$59,1,V$5)</f>
        <v>900000</v>
      </c>
      <c r="W12" s="47">
        <f>INDEX(Assumptions!$B$59:$F$59,1,W$5)</f>
        <v>900000</v>
      </c>
      <c r="X12" s="47">
        <f>INDEX(Assumptions!$B$59:$F$59,1,X$5)</f>
        <v>900000</v>
      </c>
      <c r="Y12" s="47">
        <f>INDEX(Assumptions!$B$59:$F$59,1,Y$5)</f>
        <v>900000</v>
      </c>
      <c r="Z12" s="47">
        <f>INDEX(Assumptions!$B$59:$F$59,1,Z$5)</f>
        <v>1000000</v>
      </c>
      <c r="AA12" s="47">
        <f>INDEX(Assumptions!$B$59:$F$59,1,AA$5)</f>
        <v>1000000</v>
      </c>
      <c r="AB12" s="47">
        <f>INDEX(Assumptions!$B$59:$F$59,1,AB$5)</f>
        <v>1000000</v>
      </c>
      <c r="AC12" s="47">
        <f>INDEX(Assumptions!$B$59:$F$59,1,AC$5)</f>
        <v>1000000</v>
      </c>
      <c r="AD12" s="47">
        <f>INDEX(Assumptions!$B$59:$F$59,1,AD$5)</f>
        <v>1000000</v>
      </c>
      <c r="AE12" s="47">
        <f>INDEX(Assumptions!$B$59:$F$59,1,AE$5)</f>
        <v>1000000</v>
      </c>
      <c r="AF12" s="47">
        <f>INDEX(Assumptions!$B$59:$F$59,1,AF$5)</f>
        <v>1000000</v>
      </c>
      <c r="AG12" s="47">
        <f>INDEX(Assumptions!$B$59:$F$59,1,AG$5)</f>
        <v>1000000</v>
      </c>
      <c r="AH12" s="47">
        <f>INDEX(Assumptions!$B$59:$F$59,1,AH$5)</f>
        <v>1000000</v>
      </c>
      <c r="AI12" s="47">
        <f>INDEX(Assumptions!$B$59:$F$59,1,AI$5)</f>
        <v>1000000</v>
      </c>
      <c r="AJ12" s="47">
        <f>INDEX(Assumptions!$B$59:$F$59,1,AJ$5)</f>
        <v>1000000</v>
      </c>
      <c r="AK12" s="47">
        <f>INDEX(Assumptions!$B$59:$F$59,1,AK$5)</f>
        <v>1000000</v>
      </c>
      <c r="AL12" s="47">
        <f>INDEX(Assumptions!$B$59:$F$59,1,AL$5)</f>
        <v>1100000</v>
      </c>
      <c r="AM12" s="47">
        <f>INDEX(Assumptions!$B$59:$F$59,1,AM$5)</f>
        <v>1100000</v>
      </c>
      <c r="AN12" s="47">
        <f>INDEX(Assumptions!$B$59:$F$59,1,AN$5)</f>
        <v>1100000</v>
      </c>
      <c r="AO12" s="47">
        <f>INDEX(Assumptions!$B$59:$F$59,1,AO$5)</f>
        <v>1100000</v>
      </c>
      <c r="AP12" s="47">
        <f>INDEX(Assumptions!$B$59:$F$59,1,AP$5)</f>
        <v>1100000</v>
      </c>
      <c r="AQ12" s="47">
        <f>INDEX(Assumptions!$B$59:$F$59,1,AQ$5)</f>
        <v>1100000</v>
      </c>
      <c r="AR12" s="47">
        <f>INDEX(Assumptions!$B$59:$F$59,1,AR$5)</f>
        <v>1100000</v>
      </c>
      <c r="AS12" s="47">
        <f>INDEX(Assumptions!$B$59:$F$59,1,AS$5)</f>
        <v>1100000</v>
      </c>
      <c r="AT12" s="47">
        <f>INDEX(Assumptions!$B$59:$F$59,1,AT$5)</f>
        <v>1100000</v>
      </c>
      <c r="AU12" s="47">
        <f>INDEX(Assumptions!$B$59:$F$59,1,AU$5)</f>
        <v>1100000</v>
      </c>
      <c r="AV12" s="47">
        <f>INDEX(Assumptions!$B$59:$F$59,1,AV$5)</f>
        <v>1100000</v>
      </c>
      <c r="AW12" s="47">
        <f>INDEX(Assumptions!$B$59:$F$59,1,AW$5)</f>
        <v>1100000</v>
      </c>
      <c r="AX12" s="47">
        <f>INDEX(Assumptions!$B$59:$F$59,1,AX$5)</f>
        <v>1200000</v>
      </c>
      <c r="AY12" s="47">
        <f>INDEX(Assumptions!$B$59:$F$59,1,AY$5)</f>
        <v>1200000</v>
      </c>
      <c r="AZ12" s="47">
        <f>INDEX(Assumptions!$B$59:$F$59,1,AZ$5)</f>
        <v>1200000</v>
      </c>
      <c r="BA12" s="47">
        <f>INDEX(Assumptions!$B$59:$F$59,1,BA$5)</f>
        <v>1200000</v>
      </c>
      <c r="BB12" s="47">
        <f>INDEX(Assumptions!$B$59:$F$59,1,BB$5)</f>
        <v>1200000</v>
      </c>
      <c r="BC12" s="47">
        <f>INDEX(Assumptions!$B$59:$F$59,1,BC$5)</f>
        <v>1200000</v>
      </c>
      <c r="BD12" s="47">
        <f>INDEX(Assumptions!$B$59:$F$59,1,BD$5)</f>
        <v>1200000</v>
      </c>
      <c r="BE12" s="47">
        <f>INDEX(Assumptions!$B$59:$F$59,1,BE$5)</f>
        <v>1200000</v>
      </c>
      <c r="BF12" s="47">
        <f>INDEX(Assumptions!$B$59:$F$59,1,BF$5)</f>
        <v>1200000</v>
      </c>
      <c r="BG12" s="47">
        <f>INDEX(Assumptions!$B$59:$F$59,1,BG$5)</f>
        <v>1200000</v>
      </c>
      <c r="BH12" s="47">
        <f>INDEX(Assumptions!$B$59:$F$59,1,BH$5)</f>
        <v>1200000</v>
      </c>
      <c r="BI12" s="48">
        <f>INDEX(Assumptions!$B$59:$F$59,1,BI$5)</f>
        <v>1200000</v>
      </c>
    </row>
    <row r="13" spans="1:61" ht="15">
      <c r="A13" s="36" t="s">
        <v>286</v>
      </c>
      <c r="B13" s="47">
        <f t="shared" ref="B13:AG13" si="8">B8*B12/1000000000</f>
        <v>4</v>
      </c>
      <c r="C13" s="47">
        <f t="shared" si="8"/>
        <v>8</v>
      </c>
      <c r="D13" s="47">
        <f t="shared" si="8"/>
        <v>12</v>
      </c>
      <c r="E13" s="47">
        <f t="shared" si="8"/>
        <v>16</v>
      </c>
      <c r="F13" s="47">
        <f t="shared" si="8"/>
        <v>20</v>
      </c>
      <c r="G13" s="47">
        <f t="shared" si="8"/>
        <v>24</v>
      </c>
      <c r="H13" s="47">
        <f t="shared" si="8"/>
        <v>28</v>
      </c>
      <c r="I13" s="47">
        <f t="shared" si="8"/>
        <v>32</v>
      </c>
      <c r="J13" s="47">
        <f t="shared" si="8"/>
        <v>36</v>
      </c>
      <c r="K13" s="47">
        <f t="shared" si="8"/>
        <v>40</v>
      </c>
      <c r="L13" s="47">
        <f t="shared" si="8"/>
        <v>44</v>
      </c>
      <c r="M13" s="47">
        <f t="shared" si="8"/>
        <v>48</v>
      </c>
      <c r="N13" s="47">
        <f t="shared" si="8"/>
        <v>56.625</v>
      </c>
      <c r="O13" s="47">
        <f t="shared" si="8"/>
        <v>59.249999999999993</v>
      </c>
      <c r="P13" s="47">
        <f t="shared" si="8"/>
        <v>61.875</v>
      </c>
      <c r="Q13" s="47">
        <f t="shared" si="8"/>
        <v>64.500000000000014</v>
      </c>
      <c r="R13" s="47">
        <f t="shared" si="8"/>
        <v>67.124999999999986</v>
      </c>
      <c r="S13" s="47">
        <f t="shared" si="8"/>
        <v>69.75</v>
      </c>
      <c r="T13" s="47">
        <f t="shared" si="8"/>
        <v>72.375</v>
      </c>
      <c r="U13" s="47">
        <f t="shared" si="8"/>
        <v>75</v>
      </c>
      <c r="V13" s="47">
        <f t="shared" si="8"/>
        <v>77.625</v>
      </c>
      <c r="W13" s="47">
        <f t="shared" si="8"/>
        <v>80.25</v>
      </c>
      <c r="X13" s="47">
        <f t="shared" si="8"/>
        <v>82.875</v>
      </c>
      <c r="Y13" s="47">
        <f t="shared" si="8"/>
        <v>85.5</v>
      </c>
      <c r="Z13" s="47">
        <f t="shared" si="8"/>
        <v>98.75</v>
      </c>
      <c r="AA13" s="47">
        <f t="shared" si="8"/>
        <v>102.5</v>
      </c>
      <c r="AB13" s="47">
        <f t="shared" si="8"/>
        <v>106.25</v>
      </c>
      <c r="AC13" s="47">
        <f t="shared" si="8"/>
        <v>110</v>
      </c>
      <c r="AD13" s="47">
        <f t="shared" si="8"/>
        <v>113.75</v>
      </c>
      <c r="AE13" s="47">
        <f t="shared" si="8"/>
        <v>117.5</v>
      </c>
      <c r="AF13" s="47">
        <f t="shared" si="8"/>
        <v>121.25</v>
      </c>
      <c r="AG13" s="47">
        <f t="shared" si="8"/>
        <v>125</v>
      </c>
      <c r="AH13" s="47">
        <f t="shared" ref="AH13:BI13" si="9">AH8*AH12/1000000000</f>
        <v>128.75</v>
      </c>
      <c r="AI13" s="47">
        <f t="shared" si="9"/>
        <v>132.5</v>
      </c>
      <c r="AJ13" s="47">
        <f t="shared" si="9"/>
        <v>136.25</v>
      </c>
      <c r="AK13" s="47">
        <f t="shared" si="9"/>
        <v>140</v>
      </c>
      <c r="AL13" s="47">
        <f t="shared" si="9"/>
        <v>159.5</v>
      </c>
      <c r="AM13" s="47">
        <f t="shared" si="9"/>
        <v>165</v>
      </c>
      <c r="AN13" s="47">
        <f t="shared" si="9"/>
        <v>170.5</v>
      </c>
      <c r="AO13" s="47">
        <f t="shared" si="9"/>
        <v>176</v>
      </c>
      <c r="AP13" s="47">
        <f t="shared" si="9"/>
        <v>181.5</v>
      </c>
      <c r="AQ13" s="47">
        <f t="shared" si="9"/>
        <v>187</v>
      </c>
      <c r="AR13" s="47">
        <f t="shared" si="9"/>
        <v>192.5</v>
      </c>
      <c r="AS13" s="47">
        <f t="shared" si="9"/>
        <v>198</v>
      </c>
      <c r="AT13" s="47">
        <f t="shared" si="9"/>
        <v>203.5</v>
      </c>
      <c r="AU13" s="47">
        <f t="shared" si="9"/>
        <v>209</v>
      </c>
      <c r="AV13" s="47">
        <f t="shared" si="9"/>
        <v>214.5</v>
      </c>
      <c r="AW13" s="47">
        <f t="shared" si="9"/>
        <v>220</v>
      </c>
      <c r="AX13" s="47">
        <f t="shared" si="9"/>
        <v>246</v>
      </c>
      <c r="AY13" s="47">
        <f t="shared" si="9"/>
        <v>252</v>
      </c>
      <c r="AZ13" s="47">
        <f t="shared" si="9"/>
        <v>258</v>
      </c>
      <c r="BA13" s="47">
        <f t="shared" si="9"/>
        <v>264</v>
      </c>
      <c r="BB13" s="47">
        <f t="shared" si="9"/>
        <v>270</v>
      </c>
      <c r="BC13" s="47">
        <f t="shared" si="9"/>
        <v>276</v>
      </c>
      <c r="BD13" s="47">
        <f t="shared" si="9"/>
        <v>282</v>
      </c>
      <c r="BE13" s="47">
        <f t="shared" si="9"/>
        <v>288</v>
      </c>
      <c r="BF13" s="47">
        <f t="shared" si="9"/>
        <v>294</v>
      </c>
      <c r="BG13" s="47">
        <f t="shared" si="9"/>
        <v>300</v>
      </c>
      <c r="BH13" s="47">
        <f t="shared" si="9"/>
        <v>306</v>
      </c>
      <c r="BI13" s="48">
        <f t="shared" si="9"/>
        <v>312</v>
      </c>
    </row>
    <row r="14" spans="1:61" ht="15">
      <c r="A14" s="36" t="s">
        <v>287</v>
      </c>
      <c r="B14" s="47">
        <f>B13*Assumptions!$B$10</f>
        <v>0.72</v>
      </c>
      <c r="C14" s="47">
        <f>C13*Assumptions!$B$10</f>
        <v>1.44</v>
      </c>
      <c r="D14" s="47">
        <f>D13*Assumptions!$B$10</f>
        <v>2.16</v>
      </c>
      <c r="E14" s="47">
        <f>E13*Assumptions!$B$10</f>
        <v>2.88</v>
      </c>
      <c r="F14" s="47">
        <f>F13*Assumptions!$B$10</f>
        <v>3.5999999999999996</v>
      </c>
      <c r="G14" s="47">
        <f>G13*Assumptions!$B$10</f>
        <v>4.32</v>
      </c>
      <c r="H14" s="47">
        <f>H13*Assumptions!$B$10</f>
        <v>5.04</v>
      </c>
      <c r="I14" s="47">
        <f>I13*Assumptions!$B$10</f>
        <v>5.76</v>
      </c>
      <c r="J14" s="47">
        <f>J13*Assumptions!$B$10</f>
        <v>6.4799999999999995</v>
      </c>
      <c r="K14" s="47">
        <f>K13*Assumptions!$B$10</f>
        <v>7.1999999999999993</v>
      </c>
      <c r="L14" s="47">
        <f>L13*Assumptions!$B$10</f>
        <v>7.92</v>
      </c>
      <c r="M14" s="47">
        <f>M13*Assumptions!$B$10</f>
        <v>8.64</v>
      </c>
      <c r="N14" s="47">
        <f>N13*Assumptions!$B$10</f>
        <v>10.192499999999999</v>
      </c>
      <c r="O14" s="47">
        <f>O13*Assumptions!$B$10</f>
        <v>10.664999999999999</v>
      </c>
      <c r="P14" s="47">
        <f>P13*Assumptions!$B$10</f>
        <v>11.137499999999999</v>
      </c>
      <c r="Q14" s="47">
        <f>Q13*Assumptions!$B$10</f>
        <v>11.610000000000003</v>
      </c>
      <c r="R14" s="47">
        <f>R13*Assumptions!$B$10</f>
        <v>12.082499999999998</v>
      </c>
      <c r="S14" s="47">
        <f>S13*Assumptions!$B$10</f>
        <v>12.555</v>
      </c>
      <c r="T14" s="47">
        <f>T13*Assumptions!$B$10</f>
        <v>13.0275</v>
      </c>
      <c r="U14" s="47">
        <f>U13*Assumptions!$B$10</f>
        <v>13.5</v>
      </c>
      <c r="V14" s="47">
        <f>V13*Assumptions!$B$10</f>
        <v>13.9725</v>
      </c>
      <c r="W14" s="47">
        <f>W13*Assumptions!$B$10</f>
        <v>14.445</v>
      </c>
      <c r="X14" s="47">
        <f>X13*Assumptions!$B$10</f>
        <v>14.917499999999999</v>
      </c>
      <c r="Y14" s="47">
        <f>Y13*Assumptions!$B$10</f>
        <v>15.389999999999999</v>
      </c>
      <c r="Z14" s="47">
        <f>Z13*Assumptions!$B$10</f>
        <v>17.774999999999999</v>
      </c>
      <c r="AA14" s="47">
        <f>AA13*Assumptions!$B$10</f>
        <v>18.45</v>
      </c>
      <c r="AB14" s="47">
        <f>AB13*Assumptions!$B$10</f>
        <v>19.125</v>
      </c>
      <c r="AC14" s="47">
        <f>AC13*Assumptions!$B$10</f>
        <v>19.8</v>
      </c>
      <c r="AD14" s="47">
        <f>AD13*Assumptions!$B$10</f>
        <v>20.474999999999998</v>
      </c>
      <c r="AE14" s="47">
        <f>AE13*Assumptions!$B$10</f>
        <v>21.15</v>
      </c>
      <c r="AF14" s="47">
        <f>AF13*Assumptions!$B$10</f>
        <v>21.824999999999999</v>
      </c>
      <c r="AG14" s="47">
        <f>AG13*Assumptions!$B$10</f>
        <v>22.5</v>
      </c>
      <c r="AH14" s="47">
        <f>AH13*Assumptions!$B$10</f>
        <v>23.175000000000001</v>
      </c>
      <c r="AI14" s="47">
        <f>AI13*Assumptions!$B$10</f>
        <v>23.849999999999998</v>
      </c>
      <c r="AJ14" s="47">
        <f>AJ13*Assumptions!$B$10</f>
        <v>24.524999999999999</v>
      </c>
      <c r="AK14" s="47">
        <f>AK13*Assumptions!$B$10</f>
        <v>25.2</v>
      </c>
      <c r="AL14" s="47">
        <f>AL13*Assumptions!$B$10</f>
        <v>28.709999999999997</v>
      </c>
      <c r="AM14" s="47">
        <f>AM13*Assumptions!$B$10</f>
        <v>29.7</v>
      </c>
      <c r="AN14" s="47">
        <f>AN13*Assumptions!$B$10</f>
        <v>30.689999999999998</v>
      </c>
      <c r="AO14" s="47">
        <f>AO13*Assumptions!$B$10</f>
        <v>31.68</v>
      </c>
      <c r="AP14" s="47">
        <f>AP13*Assumptions!$B$10</f>
        <v>32.67</v>
      </c>
      <c r="AQ14" s="47">
        <f>AQ13*Assumptions!$B$10</f>
        <v>33.659999999999997</v>
      </c>
      <c r="AR14" s="47">
        <f>AR13*Assumptions!$B$10</f>
        <v>34.65</v>
      </c>
      <c r="AS14" s="47">
        <f>AS13*Assumptions!$B$10</f>
        <v>35.64</v>
      </c>
      <c r="AT14" s="47">
        <f>AT13*Assumptions!$B$10</f>
        <v>36.629999999999995</v>
      </c>
      <c r="AU14" s="47">
        <f>AU13*Assumptions!$B$10</f>
        <v>37.619999999999997</v>
      </c>
      <c r="AV14" s="47">
        <f>AV13*Assumptions!$B$10</f>
        <v>38.61</v>
      </c>
      <c r="AW14" s="47">
        <f>AW13*Assumptions!$B$10</f>
        <v>39.6</v>
      </c>
      <c r="AX14" s="47">
        <f>AX13*Assumptions!$B$10</f>
        <v>44.28</v>
      </c>
      <c r="AY14" s="47">
        <f>AY13*Assumptions!$B$10</f>
        <v>45.36</v>
      </c>
      <c r="AZ14" s="47">
        <f>AZ13*Assumptions!$B$10</f>
        <v>46.44</v>
      </c>
      <c r="BA14" s="47">
        <f>BA13*Assumptions!$B$10</f>
        <v>47.519999999999996</v>
      </c>
      <c r="BB14" s="47">
        <f>BB13*Assumptions!$B$10</f>
        <v>48.6</v>
      </c>
      <c r="BC14" s="47">
        <f>BC13*Assumptions!$B$10</f>
        <v>49.68</v>
      </c>
      <c r="BD14" s="47">
        <f>BD13*Assumptions!$B$10</f>
        <v>50.76</v>
      </c>
      <c r="BE14" s="47">
        <f>BE13*Assumptions!$B$10</f>
        <v>51.839999999999996</v>
      </c>
      <c r="BF14" s="47">
        <f>BF13*Assumptions!$B$10</f>
        <v>52.919999999999995</v>
      </c>
      <c r="BG14" s="47">
        <f>BG13*Assumptions!$B$10</f>
        <v>54</v>
      </c>
      <c r="BH14" s="47">
        <f>BH13*Assumptions!$B$10</f>
        <v>55.08</v>
      </c>
      <c r="BI14" s="48">
        <f>BI13*Assumptions!$B$10</f>
        <v>56.16</v>
      </c>
    </row>
    <row r="15" spans="1:61" ht="15">
      <c r="A15" s="36" t="s">
        <v>288</v>
      </c>
      <c r="B15" s="39">
        <f>IF(B7=0,0,IF(B5=2,INDEX(Assumptions!$B$60:$F$60,1,B$5)*B$6/12,INDEX(Assumptions!$B$60:$F$60,1,B$5)))</f>
        <v>0</v>
      </c>
      <c r="C15" s="39">
        <f>IF(C7=0,0,IF(C5=2,INDEX(Assumptions!$B$60:$F$60,1,C$5)*C$6/12,INDEX(Assumptions!$B$60:$F$60,1,C$5)))</f>
        <v>0</v>
      </c>
      <c r="D15" s="39">
        <f>IF(D7=0,0,IF(D5=2,INDEX(Assumptions!$B$60:$F$60,1,D$5)*D$6/12,INDEX(Assumptions!$B$60:$F$60,1,D$5)))</f>
        <v>0</v>
      </c>
      <c r="E15" s="39">
        <f>IF(E7=0,0,IF(E5=2,INDEX(Assumptions!$B$60:$F$60,1,E$5)*E$6/12,INDEX(Assumptions!$B$60:$F$60,1,E$5)))</f>
        <v>0</v>
      </c>
      <c r="F15" s="39">
        <f>IF(F7=0,0,IF(F5=2,INDEX(Assumptions!$B$60:$F$60,1,F$5)*F$6/12,INDEX(Assumptions!$B$60:$F$60,1,F$5)))</f>
        <v>0</v>
      </c>
      <c r="G15" s="39">
        <f>IF(G7=0,0,IF(G5=2,INDEX(Assumptions!$B$60:$F$60,1,G$5)*G$6/12,INDEX(Assumptions!$B$60:$F$60,1,G$5)))</f>
        <v>0</v>
      </c>
      <c r="H15" s="39">
        <f>IF(H7=0,0,IF(H5=2,INDEX(Assumptions!$B$60:$F$60,1,H$5)*H$6/12,INDEX(Assumptions!$B$60:$F$60,1,H$5)))</f>
        <v>0</v>
      </c>
      <c r="I15" s="39">
        <f>IF(I7=0,0,IF(I5=2,INDEX(Assumptions!$B$60:$F$60,1,I$5)*I$6/12,INDEX(Assumptions!$B$60:$F$60,1,I$5)))</f>
        <v>0</v>
      </c>
      <c r="J15" s="39">
        <f>IF(J7=0,0,IF(J5=2,INDEX(Assumptions!$B$60:$F$60,1,J$5)*J$6/12,INDEX(Assumptions!$B$60:$F$60,1,J$5)))</f>
        <v>0</v>
      </c>
      <c r="K15" s="39">
        <f>IF(K7=0,0,IF(K5=2,INDEX(Assumptions!$B$60:$F$60,1,K$5)*K$6/12,INDEX(Assumptions!$B$60:$F$60,1,K$5)))</f>
        <v>0</v>
      </c>
      <c r="L15" s="39">
        <f>IF(L7=0,0,IF(L5=2,INDEX(Assumptions!$B$60:$F$60,1,L$5)*L$6/12,INDEX(Assumptions!$B$60:$F$60,1,L$5)))</f>
        <v>0</v>
      </c>
      <c r="M15" s="39">
        <f>IF(M7=0,0,IF(M5=2,INDEX(Assumptions!$B$60:$F$60,1,M$5)*M$6/12,INDEX(Assumptions!$B$60:$F$60,1,M$5)))</f>
        <v>0</v>
      </c>
      <c r="N15" s="39">
        <f>IF(N7=0,0,IF(N5=2,INDEX(Assumptions!$B$60:$F$60,1,N$5)*N$6/12,INDEX(Assumptions!$B$60:$F$60,1,N$5)))</f>
        <v>0.01</v>
      </c>
      <c r="O15" s="39">
        <f>IF(O7=0,0,IF(O5=2,INDEX(Assumptions!$B$60:$F$60,1,O$5)*O$6/12,INDEX(Assumptions!$B$60:$F$60,1,O$5)))</f>
        <v>0.02</v>
      </c>
      <c r="P15" s="39">
        <f>IF(P7=0,0,IF(P5=2,INDEX(Assumptions!$B$60:$F$60,1,P$5)*P$6/12,INDEX(Assumptions!$B$60:$F$60,1,P$5)))</f>
        <v>0.03</v>
      </c>
      <c r="Q15" s="39">
        <f>IF(Q7=0,0,IF(Q5=2,INDEX(Assumptions!$B$60:$F$60,1,Q$5)*Q$6/12,INDEX(Assumptions!$B$60:$F$60,1,Q$5)))</f>
        <v>0.04</v>
      </c>
      <c r="R15" s="39">
        <f>IF(R7=0,0,IF(R5=2,INDEX(Assumptions!$B$60:$F$60,1,R$5)*R$6/12,INDEX(Assumptions!$B$60:$F$60,1,R$5)))</f>
        <v>4.9999999999999996E-2</v>
      </c>
      <c r="S15" s="39">
        <f>IF(S7=0,0,IF(S5=2,INDEX(Assumptions!$B$60:$F$60,1,S$5)*S$6/12,INDEX(Assumptions!$B$60:$F$60,1,S$5)))</f>
        <v>0.06</v>
      </c>
      <c r="T15" s="39">
        <f>IF(T7=0,0,IF(T5=2,INDEX(Assumptions!$B$60:$F$60,1,T$5)*T$6/12,INDEX(Assumptions!$B$60:$F$60,1,T$5)))</f>
        <v>6.9999999999999993E-2</v>
      </c>
      <c r="U15" s="39">
        <f>IF(U7=0,0,IF(U5=2,INDEX(Assumptions!$B$60:$F$60,1,U$5)*U$6/12,INDEX(Assumptions!$B$60:$F$60,1,U$5)))</f>
        <v>0.08</v>
      </c>
      <c r="V15" s="39">
        <f>IF(V7=0,0,IF(V5=2,INDEX(Assumptions!$B$60:$F$60,1,V$5)*V$6/12,INDEX(Assumptions!$B$60:$F$60,1,V$5)))</f>
        <v>9.0000000000000011E-2</v>
      </c>
      <c r="W15" s="39">
        <f>IF(W7=0,0,IF(W5=2,INDEX(Assumptions!$B$60:$F$60,1,W$5)*W$6/12,INDEX(Assumptions!$B$60:$F$60,1,W$5)))</f>
        <v>9.9999999999999992E-2</v>
      </c>
      <c r="X15" s="39">
        <f>IF(X7=0,0,IF(X5=2,INDEX(Assumptions!$B$60:$F$60,1,X$5)*X$6/12,INDEX(Assumptions!$B$60:$F$60,1,X$5)))</f>
        <v>0.10999999999999999</v>
      </c>
      <c r="Y15" s="39">
        <f>IF(Y7=0,0,IF(Y5=2,INDEX(Assumptions!$B$60:$F$60,1,Y$5)*Y$6/12,INDEX(Assumptions!$B$60:$F$60,1,Y$5)))</f>
        <v>0.12</v>
      </c>
      <c r="Z15" s="39">
        <f>IF(Z7=0,0,IF(Z5=2,INDEX(Assumptions!$B$60:$F$60,1,Z$5)*Z$6/12,INDEX(Assumptions!$B$60:$F$60,1,Z$5)))</f>
        <v>0.25</v>
      </c>
      <c r="AA15" s="39">
        <f>IF(AA7=0,0,IF(AA5=2,INDEX(Assumptions!$B$60:$F$60,1,AA$5)*AA$6/12,INDEX(Assumptions!$B$60:$F$60,1,AA$5)))</f>
        <v>0.25</v>
      </c>
      <c r="AB15" s="39">
        <f>IF(AB7=0,0,IF(AB5=2,INDEX(Assumptions!$B$60:$F$60,1,AB$5)*AB$6/12,INDEX(Assumptions!$B$60:$F$60,1,AB$5)))</f>
        <v>0.25</v>
      </c>
      <c r="AC15" s="39">
        <f>IF(AC7=0,0,IF(AC5=2,INDEX(Assumptions!$B$60:$F$60,1,AC$5)*AC$6/12,INDEX(Assumptions!$B$60:$F$60,1,AC$5)))</f>
        <v>0.25</v>
      </c>
      <c r="AD15" s="39">
        <f>IF(AD7=0,0,IF(AD5=2,INDEX(Assumptions!$B$60:$F$60,1,AD$5)*AD$6/12,INDEX(Assumptions!$B$60:$F$60,1,AD$5)))</f>
        <v>0.25</v>
      </c>
      <c r="AE15" s="39">
        <f>IF(AE7=0,0,IF(AE5=2,INDEX(Assumptions!$B$60:$F$60,1,AE$5)*AE$6/12,INDEX(Assumptions!$B$60:$F$60,1,AE$5)))</f>
        <v>0.25</v>
      </c>
      <c r="AF15" s="39">
        <f>IF(AF7=0,0,IF(AF5=2,INDEX(Assumptions!$B$60:$F$60,1,AF$5)*AF$6/12,INDEX(Assumptions!$B$60:$F$60,1,AF$5)))</f>
        <v>0.25</v>
      </c>
      <c r="AG15" s="39">
        <f>IF(AG7=0,0,IF(AG5=2,INDEX(Assumptions!$B$60:$F$60,1,AG$5)*AG$6/12,INDEX(Assumptions!$B$60:$F$60,1,AG$5)))</f>
        <v>0.25</v>
      </c>
      <c r="AH15" s="39">
        <f>IF(AH7=0,0,IF(AH5=2,INDEX(Assumptions!$B$60:$F$60,1,AH$5)*AH$6/12,INDEX(Assumptions!$B$60:$F$60,1,AH$5)))</f>
        <v>0.25</v>
      </c>
      <c r="AI15" s="39">
        <f>IF(AI7=0,0,IF(AI5=2,INDEX(Assumptions!$B$60:$F$60,1,AI$5)*AI$6/12,INDEX(Assumptions!$B$60:$F$60,1,AI$5)))</f>
        <v>0.25</v>
      </c>
      <c r="AJ15" s="39">
        <f>IF(AJ7=0,0,IF(AJ5=2,INDEX(Assumptions!$B$60:$F$60,1,AJ$5)*AJ$6/12,INDEX(Assumptions!$B$60:$F$60,1,AJ$5)))</f>
        <v>0.25</v>
      </c>
      <c r="AK15" s="39">
        <f>IF(AK7=0,0,IF(AK5=2,INDEX(Assumptions!$B$60:$F$60,1,AK$5)*AK$6/12,INDEX(Assumptions!$B$60:$F$60,1,AK$5)))</f>
        <v>0.25</v>
      </c>
      <c r="AL15" s="39">
        <f>IF(AL7=0,0,IF(AL5=2,INDEX(Assumptions!$B$60:$F$60,1,AL$5)*AL$6/12,INDEX(Assumptions!$B$60:$F$60,1,AL$5)))</f>
        <v>0.35</v>
      </c>
      <c r="AM15" s="39">
        <f>IF(AM7=0,0,IF(AM5=2,INDEX(Assumptions!$B$60:$F$60,1,AM$5)*AM$6/12,INDEX(Assumptions!$B$60:$F$60,1,AM$5)))</f>
        <v>0.35</v>
      </c>
      <c r="AN15" s="39">
        <f>IF(AN7=0,0,IF(AN5=2,INDEX(Assumptions!$B$60:$F$60,1,AN$5)*AN$6/12,INDEX(Assumptions!$B$60:$F$60,1,AN$5)))</f>
        <v>0.35</v>
      </c>
      <c r="AO15" s="39">
        <f>IF(AO7=0,0,IF(AO5=2,INDEX(Assumptions!$B$60:$F$60,1,AO$5)*AO$6/12,INDEX(Assumptions!$B$60:$F$60,1,AO$5)))</f>
        <v>0.35</v>
      </c>
      <c r="AP15" s="39">
        <f>IF(AP7=0,0,IF(AP5=2,INDEX(Assumptions!$B$60:$F$60,1,AP$5)*AP$6/12,INDEX(Assumptions!$B$60:$F$60,1,AP$5)))</f>
        <v>0.35</v>
      </c>
      <c r="AQ15" s="39">
        <f>IF(AQ7=0,0,IF(AQ5=2,INDEX(Assumptions!$B$60:$F$60,1,AQ$5)*AQ$6/12,INDEX(Assumptions!$B$60:$F$60,1,AQ$5)))</f>
        <v>0.35</v>
      </c>
      <c r="AR15" s="39">
        <f>IF(AR7=0,0,IF(AR5=2,INDEX(Assumptions!$B$60:$F$60,1,AR$5)*AR$6/12,INDEX(Assumptions!$B$60:$F$60,1,AR$5)))</f>
        <v>0.35</v>
      </c>
      <c r="AS15" s="39">
        <f>IF(AS7=0,0,IF(AS5=2,INDEX(Assumptions!$B$60:$F$60,1,AS$5)*AS$6/12,INDEX(Assumptions!$B$60:$F$60,1,AS$5)))</f>
        <v>0.35</v>
      </c>
      <c r="AT15" s="39">
        <f>IF(AT7=0,0,IF(AT5=2,INDEX(Assumptions!$B$60:$F$60,1,AT$5)*AT$6/12,INDEX(Assumptions!$B$60:$F$60,1,AT$5)))</f>
        <v>0.35</v>
      </c>
      <c r="AU15" s="39">
        <f>IF(AU7=0,0,IF(AU5=2,INDEX(Assumptions!$B$60:$F$60,1,AU$5)*AU$6/12,INDEX(Assumptions!$B$60:$F$60,1,AU$5)))</f>
        <v>0.35</v>
      </c>
      <c r="AV15" s="39">
        <f>IF(AV7=0,0,IF(AV5=2,INDEX(Assumptions!$B$60:$F$60,1,AV$5)*AV$6/12,INDEX(Assumptions!$B$60:$F$60,1,AV$5)))</f>
        <v>0.35</v>
      </c>
      <c r="AW15" s="39">
        <f>IF(AW7=0,0,IF(AW5=2,INDEX(Assumptions!$B$60:$F$60,1,AW$5)*AW$6/12,INDEX(Assumptions!$B$60:$F$60,1,AW$5)))</f>
        <v>0.35</v>
      </c>
      <c r="AX15" s="39">
        <f>IF(AX7=0,0,IF(AX5=2,INDEX(Assumptions!$B$60:$F$60,1,AX$5)*AX$6/12,INDEX(Assumptions!$B$60:$F$60,1,AX$5)))</f>
        <v>0.4</v>
      </c>
      <c r="AY15" s="39">
        <f>IF(AY7=0,0,IF(AY5=2,INDEX(Assumptions!$B$60:$F$60,1,AY$5)*AY$6/12,INDEX(Assumptions!$B$60:$F$60,1,AY$5)))</f>
        <v>0.4</v>
      </c>
      <c r="AZ15" s="39">
        <f>IF(AZ7=0,0,IF(AZ5=2,INDEX(Assumptions!$B$60:$F$60,1,AZ$5)*AZ$6/12,INDEX(Assumptions!$B$60:$F$60,1,AZ$5)))</f>
        <v>0.4</v>
      </c>
      <c r="BA15" s="39">
        <f>IF(BA7=0,0,IF(BA5=2,INDEX(Assumptions!$B$60:$F$60,1,BA$5)*BA$6/12,INDEX(Assumptions!$B$60:$F$60,1,BA$5)))</f>
        <v>0.4</v>
      </c>
      <c r="BB15" s="39">
        <f>IF(BB7=0,0,IF(BB5=2,INDEX(Assumptions!$B$60:$F$60,1,BB$5)*BB$6/12,INDEX(Assumptions!$B$60:$F$60,1,BB$5)))</f>
        <v>0.4</v>
      </c>
      <c r="BC15" s="39">
        <f>IF(BC7=0,0,IF(BC5=2,INDEX(Assumptions!$B$60:$F$60,1,BC$5)*BC$6/12,INDEX(Assumptions!$B$60:$F$60,1,BC$5)))</f>
        <v>0.4</v>
      </c>
      <c r="BD15" s="39">
        <f>IF(BD7=0,0,IF(BD5=2,INDEX(Assumptions!$B$60:$F$60,1,BD$5)*BD$6/12,INDEX(Assumptions!$B$60:$F$60,1,BD$5)))</f>
        <v>0.4</v>
      </c>
      <c r="BE15" s="39">
        <f>IF(BE7=0,0,IF(BE5=2,INDEX(Assumptions!$B$60:$F$60,1,BE$5)*BE$6/12,INDEX(Assumptions!$B$60:$F$60,1,BE$5)))</f>
        <v>0.4</v>
      </c>
      <c r="BF15" s="39">
        <f>IF(BF7=0,0,IF(BF5=2,INDEX(Assumptions!$B$60:$F$60,1,BF$5)*BF$6/12,INDEX(Assumptions!$B$60:$F$60,1,BF$5)))</f>
        <v>0.4</v>
      </c>
      <c r="BG15" s="39">
        <f>IF(BG7=0,0,IF(BG5=2,INDEX(Assumptions!$B$60:$F$60,1,BG$5)*BG$6/12,INDEX(Assumptions!$B$60:$F$60,1,BG$5)))</f>
        <v>0.4</v>
      </c>
      <c r="BH15" s="39">
        <f>IF(BH7=0,0,IF(BH5=2,INDEX(Assumptions!$B$60:$F$60,1,BH$5)*BH$6/12,INDEX(Assumptions!$B$60:$F$60,1,BH$5)))</f>
        <v>0.4</v>
      </c>
      <c r="BI15" s="40">
        <f>IF(BI7=0,0,IF(BI5=2,INDEX(Assumptions!$B$60:$F$60,1,BI$5)*BI$6/12,INDEX(Assumptions!$B$60:$F$60,1,BI$5)))</f>
        <v>0.4</v>
      </c>
    </row>
    <row r="16" spans="1:61" ht="15">
      <c r="A16" s="36" t="s">
        <v>289</v>
      </c>
      <c r="B16" s="47">
        <f t="shared" ref="B16:AG16" si="10">B13*B15</f>
        <v>0</v>
      </c>
      <c r="C16" s="47">
        <f t="shared" si="10"/>
        <v>0</v>
      </c>
      <c r="D16" s="47">
        <f t="shared" si="10"/>
        <v>0</v>
      </c>
      <c r="E16" s="47">
        <f t="shared" si="10"/>
        <v>0</v>
      </c>
      <c r="F16" s="47">
        <f t="shared" si="10"/>
        <v>0</v>
      </c>
      <c r="G16" s="47">
        <f t="shared" si="10"/>
        <v>0</v>
      </c>
      <c r="H16" s="47">
        <f t="shared" si="10"/>
        <v>0</v>
      </c>
      <c r="I16" s="47">
        <f t="shared" si="10"/>
        <v>0</v>
      </c>
      <c r="J16" s="47">
        <f t="shared" si="10"/>
        <v>0</v>
      </c>
      <c r="K16" s="47">
        <f t="shared" si="10"/>
        <v>0</v>
      </c>
      <c r="L16" s="47">
        <f t="shared" si="10"/>
        <v>0</v>
      </c>
      <c r="M16" s="47">
        <f t="shared" si="10"/>
        <v>0</v>
      </c>
      <c r="N16" s="47">
        <f t="shared" si="10"/>
        <v>0.56625000000000003</v>
      </c>
      <c r="O16" s="47">
        <f t="shared" si="10"/>
        <v>1.1849999999999998</v>
      </c>
      <c r="P16" s="47">
        <f t="shared" si="10"/>
        <v>1.85625</v>
      </c>
      <c r="Q16" s="47">
        <f t="shared" si="10"/>
        <v>2.5800000000000005</v>
      </c>
      <c r="R16" s="47">
        <f t="shared" si="10"/>
        <v>3.3562499999999988</v>
      </c>
      <c r="S16" s="47">
        <f t="shared" si="10"/>
        <v>4.1849999999999996</v>
      </c>
      <c r="T16" s="47">
        <f t="shared" si="10"/>
        <v>5.0662499999999993</v>
      </c>
      <c r="U16" s="47">
        <f t="shared" si="10"/>
        <v>6</v>
      </c>
      <c r="V16" s="47">
        <f t="shared" si="10"/>
        <v>6.986250000000001</v>
      </c>
      <c r="W16" s="47">
        <f t="shared" si="10"/>
        <v>8.0249999999999986</v>
      </c>
      <c r="X16" s="47">
        <f t="shared" si="10"/>
        <v>9.1162499999999991</v>
      </c>
      <c r="Y16" s="47">
        <f t="shared" si="10"/>
        <v>10.26</v>
      </c>
      <c r="Z16" s="47">
        <f t="shared" si="10"/>
        <v>24.6875</v>
      </c>
      <c r="AA16" s="47">
        <f t="shared" si="10"/>
        <v>25.625</v>
      </c>
      <c r="AB16" s="47">
        <f t="shared" si="10"/>
        <v>26.5625</v>
      </c>
      <c r="AC16" s="47">
        <f t="shared" si="10"/>
        <v>27.5</v>
      </c>
      <c r="AD16" s="47">
        <f t="shared" si="10"/>
        <v>28.4375</v>
      </c>
      <c r="AE16" s="47">
        <f t="shared" si="10"/>
        <v>29.375</v>
      </c>
      <c r="AF16" s="47">
        <f t="shared" si="10"/>
        <v>30.3125</v>
      </c>
      <c r="AG16" s="47">
        <f t="shared" si="10"/>
        <v>31.25</v>
      </c>
      <c r="AH16" s="47">
        <f t="shared" ref="AH16:BI16" si="11">AH13*AH15</f>
        <v>32.1875</v>
      </c>
      <c r="AI16" s="47">
        <f t="shared" si="11"/>
        <v>33.125</v>
      </c>
      <c r="AJ16" s="47">
        <f t="shared" si="11"/>
        <v>34.0625</v>
      </c>
      <c r="AK16" s="47">
        <f t="shared" si="11"/>
        <v>35</v>
      </c>
      <c r="AL16" s="47">
        <f t="shared" si="11"/>
        <v>55.824999999999996</v>
      </c>
      <c r="AM16" s="47">
        <f t="shared" si="11"/>
        <v>57.749999999999993</v>
      </c>
      <c r="AN16" s="47">
        <f t="shared" si="11"/>
        <v>59.674999999999997</v>
      </c>
      <c r="AO16" s="47">
        <f t="shared" si="11"/>
        <v>61.599999999999994</v>
      </c>
      <c r="AP16" s="47">
        <f t="shared" si="11"/>
        <v>63.524999999999999</v>
      </c>
      <c r="AQ16" s="47">
        <f t="shared" si="11"/>
        <v>65.45</v>
      </c>
      <c r="AR16" s="47">
        <f t="shared" si="11"/>
        <v>67.375</v>
      </c>
      <c r="AS16" s="47">
        <f t="shared" si="11"/>
        <v>69.3</v>
      </c>
      <c r="AT16" s="47">
        <f t="shared" si="11"/>
        <v>71.224999999999994</v>
      </c>
      <c r="AU16" s="47">
        <f t="shared" si="11"/>
        <v>73.149999999999991</v>
      </c>
      <c r="AV16" s="47">
        <f t="shared" si="11"/>
        <v>75.074999999999989</v>
      </c>
      <c r="AW16" s="47">
        <f t="shared" si="11"/>
        <v>77</v>
      </c>
      <c r="AX16" s="47">
        <f t="shared" si="11"/>
        <v>98.4</v>
      </c>
      <c r="AY16" s="47">
        <f t="shared" si="11"/>
        <v>100.80000000000001</v>
      </c>
      <c r="AZ16" s="47">
        <f t="shared" si="11"/>
        <v>103.2</v>
      </c>
      <c r="BA16" s="47">
        <f t="shared" si="11"/>
        <v>105.60000000000001</v>
      </c>
      <c r="BB16" s="47">
        <f t="shared" si="11"/>
        <v>108</v>
      </c>
      <c r="BC16" s="47">
        <f t="shared" si="11"/>
        <v>110.4</v>
      </c>
      <c r="BD16" s="47">
        <f t="shared" si="11"/>
        <v>112.80000000000001</v>
      </c>
      <c r="BE16" s="47">
        <f t="shared" si="11"/>
        <v>115.2</v>
      </c>
      <c r="BF16" s="47">
        <f t="shared" si="11"/>
        <v>117.60000000000001</v>
      </c>
      <c r="BG16" s="47">
        <f t="shared" si="11"/>
        <v>120</v>
      </c>
      <c r="BH16" s="47">
        <f t="shared" si="11"/>
        <v>122.4</v>
      </c>
      <c r="BI16" s="48">
        <f t="shared" si="11"/>
        <v>124.80000000000001</v>
      </c>
    </row>
    <row r="17" spans="1:61" ht="15">
      <c r="A17" s="36" t="s">
        <v>290</v>
      </c>
      <c r="B17" s="47">
        <f>B16/2</f>
        <v>0</v>
      </c>
      <c r="C17" s="47">
        <f t="shared" ref="C17:AH17" si="12">(B16+C16)/2</f>
        <v>0</v>
      </c>
      <c r="D17" s="47">
        <f t="shared" si="12"/>
        <v>0</v>
      </c>
      <c r="E17" s="47">
        <f t="shared" si="12"/>
        <v>0</v>
      </c>
      <c r="F17" s="47">
        <f t="shared" si="12"/>
        <v>0</v>
      </c>
      <c r="G17" s="47">
        <f t="shared" si="12"/>
        <v>0</v>
      </c>
      <c r="H17" s="47">
        <f t="shared" si="12"/>
        <v>0</v>
      </c>
      <c r="I17" s="47">
        <f t="shared" si="12"/>
        <v>0</v>
      </c>
      <c r="J17" s="47">
        <f t="shared" si="12"/>
        <v>0</v>
      </c>
      <c r="K17" s="47">
        <f t="shared" si="12"/>
        <v>0</v>
      </c>
      <c r="L17" s="47">
        <f t="shared" si="12"/>
        <v>0</v>
      </c>
      <c r="M17" s="47">
        <f t="shared" si="12"/>
        <v>0</v>
      </c>
      <c r="N17" s="47">
        <f t="shared" si="12"/>
        <v>0.28312500000000002</v>
      </c>
      <c r="O17" s="47">
        <f t="shared" si="12"/>
        <v>0.87562499999999988</v>
      </c>
      <c r="P17" s="47">
        <f t="shared" si="12"/>
        <v>1.5206249999999999</v>
      </c>
      <c r="Q17" s="47">
        <f t="shared" si="12"/>
        <v>2.2181250000000001</v>
      </c>
      <c r="R17" s="47">
        <f t="shared" si="12"/>
        <v>2.9681249999999997</v>
      </c>
      <c r="S17" s="47">
        <f t="shared" si="12"/>
        <v>3.770624999999999</v>
      </c>
      <c r="T17" s="47">
        <f t="shared" si="12"/>
        <v>4.6256249999999994</v>
      </c>
      <c r="U17" s="47">
        <f t="shared" si="12"/>
        <v>5.5331250000000001</v>
      </c>
      <c r="V17" s="47">
        <f t="shared" si="12"/>
        <v>6.4931250000000009</v>
      </c>
      <c r="W17" s="47">
        <f t="shared" si="12"/>
        <v>7.5056250000000002</v>
      </c>
      <c r="X17" s="47">
        <f t="shared" si="12"/>
        <v>8.5706249999999997</v>
      </c>
      <c r="Y17" s="47">
        <f t="shared" si="12"/>
        <v>9.6881249999999994</v>
      </c>
      <c r="Z17" s="47">
        <f t="shared" si="12"/>
        <v>17.473749999999999</v>
      </c>
      <c r="AA17" s="47">
        <f t="shared" si="12"/>
        <v>25.15625</v>
      </c>
      <c r="AB17" s="47">
        <f t="shared" si="12"/>
        <v>26.09375</v>
      </c>
      <c r="AC17" s="47">
        <f t="shared" si="12"/>
        <v>27.03125</v>
      </c>
      <c r="AD17" s="47">
        <f t="shared" si="12"/>
        <v>27.96875</v>
      </c>
      <c r="AE17" s="47">
        <f t="shared" si="12"/>
        <v>28.90625</v>
      </c>
      <c r="AF17" s="47">
        <f t="shared" si="12"/>
        <v>29.84375</v>
      </c>
      <c r="AG17" s="47">
        <f t="shared" si="12"/>
        <v>30.78125</v>
      </c>
      <c r="AH17" s="47">
        <f t="shared" si="12"/>
        <v>31.71875</v>
      </c>
      <c r="AI17" s="47">
        <f t="shared" ref="AI17:BI17" si="13">(AH16+AI16)/2</f>
        <v>32.65625</v>
      </c>
      <c r="AJ17" s="47">
        <f t="shared" si="13"/>
        <v>33.59375</v>
      </c>
      <c r="AK17" s="47">
        <f t="shared" si="13"/>
        <v>34.53125</v>
      </c>
      <c r="AL17" s="47">
        <f t="shared" si="13"/>
        <v>45.412499999999994</v>
      </c>
      <c r="AM17" s="47">
        <f t="shared" si="13"/>
        <v>56.787499999999994</v>
      </c>
      <c r="AN17" s="47">
        <f t="shared" si="13"/>
        <v>58.712499999999991</v>
      </c>
      <c r="AO17" s="47">
        <f t="shared" si="13"/>
        <v>60.637499999999996</v>
      </c>
      <c r="AP17" s="47">
        <f t="shared" si="13"/>
        <v>62.5625</v>
      </c>
      <c r="AQ17" s="47">
        <f t="shared" si="13"/>
        <v>64.487499999999997</v>
      </c>
      <c r="AR17" s="47">
        <f t="shared" si="13"/>
        <v>66.412499999999994</v>
      </c>
      <c r="AS17" s="47">
        <f t="shared" si="13"/>
        <v>68.337500000000006</v>
      </c>
      <c r="AT17" s="47">
        <f t="shared" si="13"/>
        <v>70.262499999999989</v>
      </c>
      <c r="AU17" s="47">
        <f t="shared" si="13"/>
        <v>72.1875</v>
      </c>
      <c r="AV17" s="47">
        <f t="shared" si="13"/>
        <v>74.112499999999983</v>
      </c>
      <c r="AW17" s="47">
        <f t="shared" si="13"/>
        <v>76.037499999999994</v>
      </c>
      <c r="AX17" s="47">
        <f t="shared" si="13"/>
        <v>87.7</v>
      </c>
      <c r="AY17" s="47">
        <f t="shared" si="13"/>
        <v>99.600000000000009</v>
      </c>
      <c r="AZ17" s="47">
        <f t="shared" si="13"/>
        <v>102</v>
      </c>
      <c r="BA17" s="47">
        <f t="shared" si="13"/>
        <v>104.4</v>
      </c>
      <c r="BB17" s="47">
        <f t="shared" si="13"/>
        <v>106.80000000000001</v>
      </c>
      <c r="BC17" s="47">
        <f t="shared" si="13"/>
        <v>109.2</v>
      </c>
      <c r="BD17" s="47">
        <f t="shared" si="13"/>
        <v>111.60000000000001</v>
      </c>
      <c r="BE17" s="47">
        <f t="shared" si="13"/>
        <v>114</v>
      </c>
      <c r="BF17" s="47">
        <f t="shared" si="13"/>
        <v>116.4</v>
      </c>
      <c r="BG17" s="47">
        <f t="shared" si="13"/>
        <v>118.80000000000001</v>
      </c>
      <c r="BH17" s="47">
        <f t="shared" si="13"/>
        <v>121.2</v>
      </c>
      <c r="BI17" s="48">
        <f t="shared" si="13"/>
        <v>123.60000000000001</v>
      </c>
    </row>
    <row r="18" spans="1:61" ht="15">
      <c r="A18" s="36" t="s">
        <v>240</v>
      </c>
      <c r="B18" s="39">
        <f>INDEX(Assumptions!$B$61:$F$61,1,B$5)</f>
        <v>0</v>
      </c>
      <c r="C18" s="39">
        <f>INDEX(Assumptions!$B$61:$F$61,1,C$5)</f>
        <v>0</v>
      </c>
      <c r="D18" s="39">
        <f>INDEX(Assumptions!$B$61:$F$61,1,D$5)</f>
        <v>0</v>
      </c>
      <c r="E18" s="39">
        <f>INDEX(Assumptions!$B$61:$F$61,1,E$5)</f>
        <v>0</v>
      </c>
      <c r="F18" s="39">
        <f>INDEX(Assumptions!$B$61:$F$61,1,F$5)</f>
        <v>0</v>
      </c>
      <c r="G18" s="39">
        <f>INDEX(Assumptions!$B$61:$F$61,1,G$5)</f>
        <v>0</v>
      </c>
      <c r="H18" s="39">
        <f>INDEX(Assumptions!$B$61:$F$61,1,H$5)</f>
        <v>0</v>
      </c>
      <c r="I18" s="39">
        <f>INDEX(Assumptions!$B$61:$F$61,1,I$5)</f>
        <v>0</v>
      </c>
      <c r="J18" s="39">
        <f>INDEX(Assumptions!$B$61:$F$61,1,J$5)</f>
        <v>0</v>
      </c>
      <c r="K18" s="39">
        <f>INDEX(Assumptions!$B$61:$F$61,1,K$5)</f>
        <v>0</v>
      </c>
      <c r="L18" s="39">
        <f>INDEX(Assumptions!$B$61:$F$61,1,L$5)</f>
        <v>0</v>
      </c>
      <c r="M18" s="39">
        <f>INDEX(Assumptions!$B$61:$F$61,1,M$5)</f>
        <v>0</v>
      </c>
      <c r="N18" s="39">
        <f>INDEX(Assumptions!$B$61:$F$61,1,N$5)</f>
        <v>0.14000000000000001</v>
      </c>
      <c r="O18" s="39">
        <f>INDEX(Assumptions!$B$61:$F$61,1,O$5)</f>
        <v>0.14000000000000001</v>
      </c>
      <c r="P18" s="39">
        <f>INDEX(Assumptions!$B$61:$F$61,1,P$5)</f>
        <v>0.14000000000000001</v>
      </c>
      <c r="Q18" s="39">
        <f>INDEX(Assumptions!$B$61:$F$61,1,Q$5)</f>
        <v>0.14000000000000001</v>
      </c>
      <c r="R18" s="39">
        <f>INDEX(Assumptions!$B$61:$F$61,1,R$5)</f>
        <v>0.14000000000000001</v>
      </c>
      <c r="S18" s="39">
        <f>INDEX(Assumptions!$B$61:$F$61,1,S$5)</f>
        <v>0.14000000000000001</v>
      </c>
      <c r="T18" s="39">
        <f>INDEX(Assumptions!$B$61:$F$61,1,T$5)</f>
        <v>0.14000000000000001</v>
      </c>
      <c r="U18" s="39">
        <f>INDEX(Assumptions!$B$61:$F$61,1,U$5)</f>
        <v>0.14000000000000001</v>
      </c>
      <c r="V18" s="39">
        <f>INDEX(Assumptions!$B$61:$F$61,1,V$5)</f>
        <v>0.14000000000000001</v>
      </c>
      <c r="W18" s="39">
        <f>INDEX(Assumptions!$B$61:$F$61,1,W$5)</f>
        <v>0.14000000000000001</v>
      </c>
      <c r="X18" s="39">
        <f>INDEX(Assumptions!$B$61:$F$61,1,X$5)</f>
        <v>0.14000000000000001</v>
      </c>
      <c r="Y18" s="39">
        <f>INDEX(Assumptions!$B$61:$F$61,1,Y$5)</f>
        <v>0.14000000000000001</v>
      </c>
      <c r="Z18" s="39">
        <f>INDEX(Assumptions!$B$61:$F$61,1,Z$5)</f>
        <v>0.14499999999999999</v>
      </c>
      <c r="AA18" s="39">
        <f>INDEX(Assumptions!$B$61:$F$61,1,AA$5)</f>
        <v>0.14499999999999999</v>
      </c>
      <c r="AB18" s="39">
        <f>INDEX(Assumptions!$B$61:$F$61,1,AB$5)</f>
        <v>0.14499999999999999</v>
      </c>
      <c r="AC18" s="39">
        <f>INDEX(Assumptions!$B$61:$F$61,1,AC$5)</f>
        <v>0.14499999999999999</v>
      </c>
      <c r="AD18" s="39">
        <f>INDEX(Assumptions!$B$61:$F$61,1,AD$5)</f>
        <v>0.14499999999999999</v>
      </c>
      <c r="AE18" s="39">
        <f>INDEX(Assumptions!$B$61:$F$61,1,AE$5)</f>
        <v>0.14499999999999999</v>
      </c>
      <c r="AF18" s="39">
        <f>INDEX(Assumptions!$B$61:$F$61,1,AF$5)</f>
        <v>0.14499999999999999</v>
      </c>
      <c r="AG18" s="39">
        <f>INDEX(Assumptions!$B$61:$F$61,1,AG$5)</f>
        <v>0.14499999999999999</v>
      </c>
      <c r="AH18" s="39">
        <f>INDEX(Assumptions!$B$61:$F$61,1,AH$5)</f>
        <v>0.14499999999999999</v>
      </c>
      <c r="AI18" s="39">
        <f>INDEX(Assumptions!$B$61:$F$61,1,AI$5)</f>
        <v>0.14499999999999999</v>
      </c>
      <c r="AJ18" s="39">
        <f>INDEX(Assumptions!$B$61:$F$61,1,AJ$5)</f>
        <v>0.14499999999999999</v>
      </c>
      <c r="AK18" s="39">
        <f>INDEX(Assumptions!$B$61:$F$61,1,AK$5)</f>
        <v>0.14499999999999999</v>
      </c>
      <c r="AL18" s="39">
        <f>INDEX(Assumptions!$B$61:$F$61,1,AL$5)</f>
        <v>0.15</v>
      </c>
      <c r="AM18" s="39">
        <f>INDEX(Assumptions!$B$61:$F$61,1,AM$5)</f>
        <v>0.15</v>
      </c>
      <c r="AN18" s="39">
        <f>INDEX(Assumptions!$B$61:$F$61,1,AN$5)</f>
        <v>0.15</v>
      </c>
      <c r="AO18" s="39">
        <f>INDEX(Assumptions!$B$61:$F$61,1,AO$5)</f>
        <v>0.15</v>
      </c>
      <c r="AP18" s="39">
        <f>INDEX(Assumptions!$B$61:$F$61,1,AP$5)</f>
        <v>0.15</v>
      </c>
      <c r="AQ18" s="39">
        <f>INDEX(Assumptions!$B$61:$F$61,1,AQ$5)</f>
        <v>0.15</v>
      </c>
      <c r="AR18" s="39">
        <f>INDEX(Assumptions!$B$61:$F$61,1,AR$5)</f>
        <v>0.15</v>
      </c>
      <c r="AS18" s="39">
        <f>INDEX(Assumptions!$B$61:$F$61,1,AS$5)</f>
        <v>0.15</v>
      </c>
      <c r="AT18" s="39">
        <f>INDEX(Assumptions!$B$61:$F$61,1,AT$5)</f>
        <v>0.15</v>
      </c>
      <c r="AU18" s="39">
        <f>INDEX(Assumptions!$B$61:$F$61,1,AU$5)</f>
        <v>0.15</v>
      </c>
      <c r="AV18" s="39">
        <f>INDEX(Assumptions!$B$61:$F$61,1,AV$5)</f>
        <v>0.15</v>
      </c>
      <c r="AW18" s="39">
        <f>INDEX(Assumptions!$B$61:$F$61,1,AW$5)</f>
        <v>0.15</v>
      </c>
      <c r="AX18" s="39">
        <f>INDEX(Assumptions!$B$61:$F$61,1,AX$5)</f>
        <v>0.15</v>
      </c>
      <c r="AY18" s="39">
        <f>INDEX(Assumptions!$B$61:$F$61,1,AY$5)</f>
        <v>0.15</v>
      </c>
      <c r="AZ18" s="39">
        <f>INDEX(Assumptions!$B$61:$F$61,1,AZ$5)</f>
        <v>0.15</v>
      </c>
      <c r="BA18" s="39">
        <f>INDEX(Assumptions!$B$61:$F$61,1,BA$5)</f>
        <v>0.15</v>
      </c>
      <c r="BB18" s="39">
        <f>INDEX(Assumptions!$B$61:$F$61,1,BB$5)</f>
        <v>0.15</v>
      </c>
      <c r="BC18" s="39">
        <f>INDEX(Assumptions!$B$61:$F$61,1,BC$5)</f>
        <v>0.15</v>
      </c>
      <c r="BD18" s="39">
        <f>INDEX(Assumptions!$B$61:$F$61,1,BD$5)</f>
        <v>0.15</v>
      </c>
      <c r="BE18" s="39">
        <f>INDEX(Assumptions!$B$61:$F$61,1,BE$5)</f>
        <v>0.15</v>
      </c>
      <c r="BF18" s="39">
        <f>INDEX(Assumptions!$B$61:$F$61,1,BF$5)</f>
        <v>0.15</v>
      </c>
      <c r="BG18" s="39">
        <f>INDEX(Assumptions!$B$61:$F$61,1,BG$5)</f>
        <v>0.15</v>
      </c>
      <c r="BH18" s="39">
        <f>INDEX(Assumptions!$B$61:$F$61,1,BH$5)</f>
        <v>0.15</v>
      </c>
      <c r="BI18" s="40">
        <f>INDEX(Assumptions!$B$61:$F$61,1,BI$5)</f>
        <v>0.15</v>
      </c>
    </row>
    <row r="19" spans="1:61" ht="15">
      <c r="A19" s="36" t="s">
        <v>291</v>
      </c>
      <c r="B19" s="47">
        <f t="shared" ref="B19:AG19" si="14">B17*B18/12</f>
        <v>0</v>
      </c>
      <c r="C19" s="47">
        <f t="shared" si="14"/>
        <v>0</v>
      </c>
      <c r="D19" s="47">
        <f t="shared" si="14"/>
        <v>0</v>
      </c>
      <c r="E19" s="47">
        <f t="shared" si="14"/>
        <v>0</v>
      </c>
      <c r="F19" s="47">
        <f t="shared" si="14"/>
        <v>0</v>
      </c>
      <c r="G19" s="47">
        <f t="shared" si="14"/>
        <v>0</v>
      </c>
      <c r="H19" s="47">
        <f t="shared" si="14"/>
        <v>0</v>
      </c>
      <c r="I19" s="47">
        <f t="shared" si="14"/>
        <v>0</v>
      </c>
      <c r="J19" s="47">
        <f t="shared" si="14"/>
        <v>0</v>
      </c>
      <c r="K19" s="47">
        <f t="shared" si="14"/>
        <v>0</v>
      </c>
      <c r="L19" s="47">
        <f t="shared" si="14"/>
        <v>0</v>
      </c>
      <c r="M19" s="47">
        <f t="shared" si="14"/>
        <v>0</v>
      </c>
      <c r="N19" s="47">
        <f t="shared" si="14"/>
        <v>3.3031250000000005E-3</v>
      </c>
      <c r="O19" s="47">
        <f t="shared" si="14"/>
        <v>1.0215624999999999E-2</v>
      </c>
      <c r="P19" s="47">
        <f t="shared" si="14"/>
        <v>1.7740624999999999E-2</v>
      </c>
      <c r="Q19" s="47">
        <f t="shared" si="14"/>
        <v>2.5878125000000002E-2</v>
      </c>
      <c r="R19" s="47">
        <f t="shared" si="14"/>
        <v>3.4628125000000003E-2</v>
      </c>
      <c r="S19" s="47">
        <f t="shared" si="14"/>
        <v>4.3990624999999998E-2</v>
      </c>
      <c r="T19" s="47">
        <f t="shared" si="14"/>
        <v>5.3965624999999996E-2</v>
      </c>
      <c r="U19" s="47">
        <f t="shared" si="14"/>
        <v>6.4553125000000003E-2</v>
      </c>
      <c r="V19" s="47">
        <f t="shared" si="14"/>
        <v>7.5753125000000018E-2</v>
      </c>
      <c r="W19" s="47">
        <f t="shared" si="14"/>
        <v>8.7565625000000022E-2</v>
      </c>
      <c r="X19" s="47">
        <f t="shared" si="14"/>
        <v>9.9990625E-2</v>
      </c>
      <c r="Y19" s="47">
        <f t="shared" si="14"/>
        <v>0.11302812499999999</v>
      </c>
      <c r="Z19" s="47">
        <f t="shared" si="14"/>
        <v>0.21114114583333332</v>
      </c>
      <c r="AA19" s="47">
        <f t="shared" si="14"/>
        <v>0.30397135416666665</v>
      </c>
      <c r="AB19" s="47">
        <f t="shared" si="14"/>
        <v>0.31529947916666662</v>
      </c>
      <c r="AC19" s="47">
        <f t="shared" si="14"/>
        <v>0.32662760416666664</v>
      </c>
      <c r="AD19" s="47">
        <f t="shared" si="14"/>
        <v>0.33795572916666661</v>
      </c>
      <c r="AE19" s="47">
        <f t="shared" si="14"/>
        <v>0.34928385416666669</v>
      </c>
      <c r="AF19" s="47">
        <f t="shared" si="14"/>
        <v>0.36061197916666665</v>
      </c>
      <c r="AG19" s="47">
        <f t="shared" si="14"/>
        <v>0.37194010416666662</v>
      </c>
      <c r="AH19" s="47">
        <f t="shared" ref="AH19:BI19" si="15">AH17*AH18/12</f>
        <v>0.38326822916666664</v>
      </c>
      <c r="AI19" s="47">
        <f t="shared" si="15"/>
        <v>0.39459635416666661</v>
      </c>
      <c r="AJ19" s="47">
        <f t="shared" si="15"/>
        <v>0.40592447916666669</v>
      </c>
      <c r="AK19" s="47">
        <f t="shared" si="15"/>
        <v>0.41725260416666665</v>
      </c>
      <c r="AL19" s="47">
        <f t="shared" si="15"/>
        <v>0.56765624999999986</v>
      </c>
      <c r="AM19" s="47">
        <f t="shared" si="15"/>
        <v>0.70984375</v>
      </c>
      <c r="AN19" s="47">
        <f t="shared" si="15"/>
        <v>0.73390624999999987</v>
      </c>
      <c r="AO19" s="47">
        <f t="shared" si="15"/>
        <v>0.75796874999999986</v>
      </c>
      <c r="AP19" s="47">
        <f t="shared" si="15"/>
        <v>0.78203125000000007</v>
      </c>
      <c r="AQ19" s="47">
        <f t="shared" si="15"/>
        <v>0.80609374999999994</v>
      </c>
      <c r="AR19" s="47">
        <f t="shared" si="15"/>
        <v>0.83015624999999993</v>
      </c>
      <c r="AS19" s="47">
        <f t="shared" si="15"/>
        <v>0.85421875000000014</v>
      </c>
      <c r="AT19" s="47">
        <f t="shared" si="15"/>
        <v>0.87828124999999979</v>
      </c>
      <c r="AU19" s="47">
        <f t="shared" si="15"/>
        <v>0.90234375</v>
      </c>
      <c r="AV19" s="47">
        <f t="shared" si="15"/>
        <v>0.92640624999999976</v>
      </c>
      <c r="AW19" s="47">
        <f t="shared" si="15"/>
        <v>0.95046874999999986</v>
      </c>
      <c r="AX19" s="47">
        <f t="shared" si="15"/>
        <v>1.0962499999999999</v>
      </c>
      <c r="AY19" s="47">
        <f t="shared" si="15"/>
        <v>1.2450000000000001</v>
      </c>
      <c r="AZ19" s="47">
        <f t="shared" si="15"/>
        <v>1.2749999999999999</v>
      </c>
      <c r="BA19" s="47">
        <f t="shared" si="15"/>
        <v>1.3049999999999999</v>
      </c>
      <c r="BB19" s="47">
        <f t="shared" si="15"/>
        <v>1.335</v>
      </c>
      <c r="BC19" s="47">
        <f t="shared" si="15"/>
        <v>1.365</v>
      </c>
      <c r="BD19" s="47">
        <f t="shared" si="15"/>
        <v>1.3950000000000002</v>
      </c>
      <c r="BE19" s="47">
        <f t="shared" si="15"/>
        <v>1.4249999999999998</v>
      </c>
      <c r="BF19" s="47">
        <f t="shared" si="15"/>
        <v>1.4550000000000001</v>
      </c>
      <c r="BG19" s="47">
        <f t="shared" si="15"/>
        <v>1.4850000000000001</v>
      </c>
      <c r="BH19" s="47">
        <f t="shared" si="15"/>
        <v>1.5149999999999999</v>
      </c>
      <c r="BI19" s="48">
        <f t="shared" si="15"/>
        <v>1.5449999999999999</v>
      </c>
    </row>
    <row r="20" spans="1:61" ht="15">
      <c r="A20" s="36" t="s">
        <v>246</v>
      </c>
      <c r="B20" s="39">
        <f>INDEX(Assumptions!$B$63:$F$63,1,B$5)</f>
        <v>1.2E-2</v>
      </c>
      <c r="C20" s="39">
        <f>INDEX(Assumptions!$B$63:$F$63,1,C$5)</f>
        <v>1.2E-2</v>
      </c>
      <c r="D20" s="39">
        <f>INDEX(Assumptions!$B$63:$F$63,1,D$5)</f>
        <v>1.2E-2</v>
      </c>
      <c r="E20" s="39">
        <f>INDEX(Assumptions!$B$63:$F$63,1,E$5)</f>
        <v>1.2E-2</v>
      </c>
      <c r="F20" s="39">
        <f>INDEX(Assumptions!$B$63:$F$63,1,F$5)</f>
        <v>1.2E-2</v>
      </c>
      <c r="G20" s="39">
        <f>INDEX(Assumptions!$B$63:$F$63,1,G$5)</f>
        <v>1.2E-2</v>
      </c>
      <c r="H20" s="39">
        <f>INDEX(Assumptions!$B$63:$F$63,1,H$5)</f>
        <v>1.2E-2</v>
      </c>
      <c r="I20" s="39">
        <f>INDEX(Assumptions!$B$63:$F$63,1,I$5)</f>
        <v>1.2E-2</v>
      </c>
      <c r="J20" s="39">
        <f>INDEX(Assumptions!$B$63:$F$63,1,J$5)</f>
        <v>1.2E-2</v>
      </c>
      <c r="K20" s="39">
        <f>INDEX(Assumptions!$B$63:$F$63,1,K$5)</f>
        <v>1.2E-2</v>
      </c>
      <c r="L20" s="39">
        <f>INDEX(Assumptions!$B$63:$F$63,1,L$5)</f>
        <v>1.2E-2</v>
      </c>
      <c r="M20" s="39">
        <f>INDEX(Assumptions!$B$63:$F$63,1,M$5)</f>
        <v>1.2E-2</v>
      </c>
      <c r="N20" s="39">
        <f>INDEX(Assumptions!$B$63:$F$63,1,N$5)</f>
        <v>1.4999999999999999E-2</v>
      </c>
      <c r="O20" s="39">
        <f>INDEX(Assumptions!$B$63:$F$63,1,O$5)</f>
        <v>1.4999999999999999E-2</v>
      </c>
      <c r="P20" s="39">
        <f>INDEX(Assumptions!$B$63:$F$63,1,P$5)</f>
        <v>1.4999999999999999E-2</v>
      </c>
      <c r="Q20" s="39">
        <f>INDEX(Assumptions!$B$63:$F$63,1,Q$5)</f>
        <v>1.4999999999999999E-2</v>
      </c>
      <c r="R20" s="39">
        <f>INDEX(Assumptions!$B$63:$F$63,1,R$5)</f>
        <v>1.4999999999999999E-2</v>
      </c>
      <c r="S20" s="39">
        <f>INDEX(Assumptions!$B$63:$F$63,1,S$5)</f>
        <v>1.4999999999999999E-2</v>
      </c>
      <c r="T20" s="39">
        <f>INDEX(Assumptions!$B$63:$F$63,1,T$5)</f>
        <v>1.4999999999999999E-2</v>
      </c>
      <c r="U20" s="39">
        <f>INDEX(Assumptions!$B$63:$F$63,1,U$5)</f>
        <v>1.4999999999999999E-2</v>
      </c>
      <c r="V20" s="39">
        <f>INDEX(Assumptions!$B$63:$F$63,1,V$5)</f>
        <v>1.4999999999999999E-2</v>
      </c>
      <c r="W20" s="39">
        <f>INDEX(Assumptions!$B$63:$F$63,1,W$5)</f>
        <v>1.4999999999999999E-2</v>
      </c>
      <c r="X20" s="39">
        <f>INDEX(Assumptions!$B$63:$F$63,1,X$5)</f>
        <v>1.4999999999999999E-2</v>
      </c>
      <c r="Y20" s="39">
        <f>INDEX(Assumptions!$B$63:$F$63,1,Y$5)</f>
        <v>1.4999999999999999E-2</v>
      </c>
      <c r="Z20" s="39">
        <f>INDEX(Assumptions!$B$63:$F$63,1,Z$5)</f>
        <v>0.02</v>
      </c>
      <c r="AA20" s="39">
        <f>INDEX(Assumptions!$B$63:$F$63,1,AA$5)</f>
        <v>0.02</v>
      </c>
      <c r="AB20" s="39">
        <f>INDEX(Assumptions!$B$63:$F$63,1,AB$5)</f>
        <v>0.02</v>
      </c>
      <c r="AC20" s="39">
        <f>INDEX(Assumptions!$B$63:$F$63,1,AC$5)</f>
        <v>0.02</v>
      </c>
      <c r="AD20" s="39">
        <f>INDEX(Assumptions!$B$63:$F$63,1,AD$5)</f>
        <v>0.02</v>
      </c>
      <c r="AE20" s="39">
        <f>INDEX(Assumptions!$B$63:$F$63,1,AE$5)</f>
        <v>0.02</v>
      </c>
      <c r="AF20" s="39">
        <f>INDEX(Assumptions!$B$63:$F$63,1,AF$5)</f>
        <v>0.02</v>
      </c>
      <c r="AG20" s="39">
        <f>INDEX(Assumptions!$B$63:$F$63,1,AG$5)</f>
        <v>0.02</v>
      </c>
      <c r="AH20" s="39">
        <f>INDEX(Assumptions!$B$63:$F$63,1,AH$5)</f>
        <v>0.02</v>
      </c>
      <c r="AI20" s="39">
        <f>INDEX(Assumptions!$B$63:$F$63,1,AI$5)</f>
        <v>0.02</v>
      </c>
      <c r="AJ20" s="39">
        <f>INDEX(Assumptions!$B$63:$F$63,1,AJ$5)</f>
        <v>0.02</v>
      </c>
      <c r="AK20" s="39">
        <f>INDEX(Assumptions!$B$63:$F$63,1,AK$5)</f>
        <v>0.02</v>
      </c>
      <c r="AL20" s="39">
        <f>INDEX(Assumptions!$B$63:$F$63,1,AL$5)</f>
        <v>2.5000000000000001E-2</v>
      </c>
      <c r="AM20" s="39">
        <f>INDEX(Assumptions!$B$63:$F$63,1,AM$5)</f>
        <v>2.5000000000000001E-2</v>
      </c>
      <c r="AN20" s="39">
        <f>INDEX(Assumptions!$B$63:$F$63,1,AN$5)</f>
        <v>2.5000000000000001E-2</v>
      </c>
      <c r="AO20" s="39">
        <f>INDEX(Assumptions!$B$63:$F$63,1,AO$5)</f>
        <v>2.5000000000000001E-2</v>
      </c>
      <c r="AP20" s="39">
        <f>INDEX(Assumptions!$B$63:$F$63,1,AP$5)</f>
        <v>2.5000000000000001E-2</v>
      </c>
      <c r="AQ20" s="39">
        <f>INDEX(Assumptions!$B$63:$F$63,1,AQ$5)</f>
        <v>2.5000000000000001E-2</v>
      </c>
      <c r="AR20" s="39">
        <f>INDEX(Assumptions!$B$63:$F$63,1,AR$5)</f>
        <v>2.5000000000000001E-2</v>
      </c>
      <c r="AS20" s="39">
        <f>INDEX(Assumptions!$B$63:$F$63,1,AS$5)</f>
        <v>2.5000000000000001E-2</v>
      </c>
      <c r="AT20" s="39">
        <f>INDEX(Assumptions!$B$63:$F$63,1,AT$5)</f>
        <v>2.5000000000000001E-2</v>
      </c>
      <c r="AU20" s="39">
        <f>INDEX(Assumptions!$B$63:$F$63,1,AU$5)</f>
        <v>2.5000000000000001E-2</v>
      </c>
      <c r="AV20" s="39">
        <f>INDEX(Assumptions!$B$63:$F$63,1,AV$5)</f>
        <v>2.5000000000000001E-2</v>
      </c>
      <c r="AW20" s="39">
        <f>INDEX(Assumptions!$B$63:$F$63,1,AW$5)</f>
        <v>2.5000000000000001E-2</v>
      </c>
      <c r="AX20" s="39">
        <f>INDEX(Assumptions!$B$63:$F$63,1,AX$5)</f>
        <v>0.03</v>
      </c>
      <c r="AY20" s="39">
        <f>INDEX(Assumptions!$B$63:$F$63,1,AY$5)</f>
        <v>0.03</v>
      </c>
      <c r="AZ20" s="39">
        <f>INDEX(Assumptions!$B$63:$F$63,1,AZ$5)</f>
        <v>0.03</v>
      </c>
      <c r="BA20" s="39">
        <f>INDEX(Assumptions!$B$63:$F$63,1,BA$5)</f>
        <v>0.03</v>
      </c>
      <c r="BB20" s="39">
        <f>INDEX(Assumptions!$B$63:$F$63,1,BB$5)</f>
        <v>0.03</v>
      </c>
      <c r="BC20" s="39">
        <f>INDEX(Assumptions!$B$63:$F$63,1,BC$5)</f>
        <v>0.03</v>
      </c>
      <c r="BD20" s="39">
        <f>INDEX(Assumptions!$B$63:$F$63,1,BD$5)</f>
        <v>0.03</v>
      </c>
      <c r="BE20" s="39">
        <f>INDEX(Assumptions!$B$63:$F$63,1,BE$5)</f>
        <v>0.03</v>
      </c>
      <c r="BF20" s="39">
        <f>INDEX(Assumptions!$B$63:$F$63,1,BF$5)</f>
        <v>0.03</v>
      </c>
      <c r="BG20" s="39">
        <f>INDEX(Assumptions!$B$63:$F$63,1,BG$5)</f>
        <v>0.03</v>
      </c>
      <c r="BH20" s="39">
        <f>INDEX(Assumptions!$B$63:$F$63,1,BH$5)</f>
        <v>0.03</v>
      </c>
      <c r="BI20" s="40">
        <f>INDEX(Assumptions!$B$63:$F$63,1,BI$5)</f>
        <v>0.03</v>
      </c>
    </row>
    <row r="21" spans="1:61" ht="15">
      <c r="A21" s="36" t="s">
        <v>292</v>
      </c>
      <c r="B21" s="39">
        <f>INDEX(Assumptions!$B$64:$F$64,1,B$5)</f>
        <v>0.35</v>
      </c>
      <c r="C21" s="39">
        <f>INDEX(Assumptions!$B$64:$F$64,1,C$5)</f>
        <v>0.35</v>
      </c>
      <c r="D21" s="39">
        <f>INDEX(Assumptions!$B$64:$F$64,1,D$5)</f>
        <v>0.35</v>
      </c>
      <c r="E21" s="39">
        <f>INDEX(Assumptions!$B$64:$F$64,1,E$5)</f>
        <v>0.35</v>
      </c>
      <c r="F21" s="39">
        <f>INDEX(Assumptions!$B$64:$F$64,1,F$5)</f>
        <v>0.35</v>
      </c>
      <c r="G21" s="39">
        <f>INDEX(Assumptions!$B$64:$F$64,1,G$5)</f>
        <v>0.35</v>
      </c>
      <c r="H21" s="39">
        <f>INDEX(Assumptions!$B$64:$F$64,1,H$5)</f>
        <v>0.35</v>
      </c>
      <c r="I21" s="39">
        <f>INDEX(Assumptions!$B$64:$F$64,1,I$5)</f>
        <v>0.35</v>
      </c>
      <c r="J21" s="39">
        <f>INDEX(Assumptions!$B$64:$F$64,1,J$5)</f>
        <v>0.35</v>
      </c>
      <c r="K21" s="39">
        <f>INDEX(Assumptions!$B$64:$F$64,1,K$5)</f>
        <v>0.35</v>
      </c>
      <c r="L21" s="39">
        <f>INDEX(Assumptions!$B$64:$F$64,1,L$5)</f>
        <v>0.35</v>
      </c>
      <c r="M21" s="39">
        <f>INDEX(Assumptions!$B$64:$F$64,1,M$5)</f>
        <v>0.35</v>
      </c>
      <c r="N21" s="39">
        <f>INDEX(Assumptions!$B$64:$F$64,1,N$5)</f>
        <v>0.4</v>
      </c>
      <c r="O21" s="39">
        <f>INDEX(Assumptions!$B$64:$F$64,1,O$5)</f>
        <v>0.4</v>
      </c>
      <c r="P21" s="39">
        <f>INDEX(Assumptions!$B$64:$F$64,1,P$5)</f>
        <v>0.4</v>
      </c>
      <c r="Q21" s="39">
        <f>INDEX(Assumptions!$B$64:$F$64,1,Q$5)</f>
        <v>0.4</v>
      </c>
      <c r="R21" s="39">
        <f>INDEX(Assumptions!$B$64:$F$64,1,R$5)</f>
        <v>0.4</v>
      </c>
      <c r="S21" s="39">
        <f>INDEX(Assumptions!$B$64:$F$64,1,S$5)</f>
        <v>0.4</v>
      </c>
      <c r="T21" s="39">
        <f>INDEX(Assumptions!$B$64:$F$64,1,T$5)</f>
        <v>0.4</v>
      </c>
      <c r="U21" s="39">
        <f>INDEX(Assumptions!$B$64:$F$64,1,U$5)</f>
        <v>0.4</v>
      </c>
      <c r="V21" s="39">
        <f>INDEX(Assumptions!$B$64:$F$64,1,V$5)</f>
        <v>0.4</v>
      </c>
      <c r="W21" s="39">
        <f>INDEX(Assumptions!$B$64:$F$64,1,W$5)</f>
        <v>0.4</v>
      </c>
      <c r="X21" s="39">
        <f>INDEX(Assumptions!$B$64:$F$64,1,X$5)</f>
        <v>0.4</v>
      </c>
      <c r="Y21" s="39">
        <f>INDEX(Assumptions!$B$64:$F$64,1,Y$5)</f>
        <v>0.4</v>
      </c>
      <c r="Z21" s="39">
        <f>INDEX(Assumptions!$B$64:$F$64,1,Z$5)</f>
        <v>0.45</v>
      </c>
      <c r="AA21" s="39">
        <f>INDEX(Assumptions!$B$64:$F$64,1,AA$5)</f>
        <v>0.45</v>
      </c>
      <c r="AB21" s="39">
        <f>INDEX(Assumptions!$B$64:$F$64,1,AB$5)</f>
        <v>0.45</v>
      </c>
      <c r="AC21" s="39">
        <f>INDEX(Assumptions!$B$64:$F$64,1,AC$5)</f>
        <v>0.45</v>
      </c>
      <c r="AD21" s="39">
        <f>INDEX(Assumptions!$B$64:$F$64,1,AD$5)</f>
        <v>0.45</v>
      </c>
      <c r="AE21" s="39">
        <f>INDEX(Assumptions!$B$64:$F$64,1,AE$5)</f>
        <v>0.45</v>
      </c>
      <c r="AF21" s="39">
        <f>INDEX(Assumptions!$B$64:$F$64,1,AF$5)</f>
        <v>0.45</v>
      </c>
      <c r="AG21" s="39">
        <f>INDEX(Assumptions!$B$64:$F$64,1,AG$5)</f>
        <v>0.45</v>
      </c>
      <c r="AH21" s="39">
        <f>INDEX(Assumptions!$B$64:$F$64,1,AH$5)</f>
        <v>0.45</v>
      </c>
      <c r="AI21" s="39">
        <f>INDEX(Assumptions!$B$64:$F$64,1,AI$5)</f>
        <v>0.45</v>
      </c>
      <c r="AJ21" s="39">
        <f>INDEX(Assumptions!$B$64:$F$64,1,AJ$5)</f>
        <v>0.45</v>
      </c>
      <c r="AK21" s="39">
        <f>INDEX(Assumptions!$B$64:$F$64,1,AK$5)</f>
        <v>0.45</v>
      </c>
      <c r="AL21" s="39">
        <f>INDEX(Assumptions!$B$64:$F$64,1,AL$5)</f>
        <v>0.5</v>
      </c>
      <c r="AM21" s="39">
        <f>INDEX(Assumptions!$B$64:$F$64,1,AM$5)</f>
        <v>0.5</v>
      </c>
      <c r="AN21" s="39">
        <f>INDEX(Assumptions!$B$64:$F$64,1,AN$5)</f>
        <v>0.5</v>
      </c>
      <c r="AO21" s="39">
        <f>INDEX(Assumptions!$B$64:$F$64,1,AO$5)</f>
        <v>0.5</v>
      </c>
      <c r="AP21" s="39">
        <f>INDEX(Assumptions!$B$64:$F$64,1,AP$5)</f>
        <v>0.5</v>
      </c>
      <c r="AQ21" s="39">
        <f>INDEX(Assumptions!$B$64:$F$64,1,AQ$5)</f>
        <v>0.5</v>
      </c>
      <c r="AR21" s="39">
        <f>INDEX(Assumptions!$B$64:$F$64,1,AR$5)</f>
        <v>0.5</v>
      </c>
      <c r="AS21" s="39">
        <f>INDEX(Assumptions!$B$64:$F$64,1,AS$5)</f>
        <v>0.5</v>
      </c>
      <c r="AT21" s="39">
        <f>INDEX(Assumptions!$B$64:$F$64,1,AT$5)</f>
        <v>0.5</v>
      </c>
      <c r="AU21" s="39">
        <f>INDEX(Assumptions!$B$64:$F$64,1,AU$5)</f>
        <v>0.5</v>
      </c>
      <c r="AV21" s="39">
        <f>INDEX(Assumptions!$B$64:$F$64,1,AV$5)</f>
        <v>0.5</v>
      </c>
      <c r="AW21" s="39">
        <f>INDEX(Assumptions!$B$64:$F$64,1,AW$5)</f>
        <v>0.5</v>
      </c>
      <c r="AX21" s="39">
        <f>INDEX(Assumptions!$B$64:$F$64,1,AX$5)</f>
        <v>0.55000000000000004</v>
      </c>
      <c r="AY21" s="39">
        <f>INDEX(Assumptions!$B$64:$F$64,1,AY$5)</f>
        <v>0.55000000000000004</v>
      </c>
      <c r="AZ21" s="39">
        <f>INDEX(Assumptions!$B$64:$F$64,1,AZ$5)</f>
        <v>0.55000000000000004</v>
      </c>
      <c r="BA21" s="39">
        <f>INDEX(Assumptions!$B$64:$F$64,1,BA$5)</f>
        <v>0.55000000000000004</v>
      </c>
      <c r="BB21" s="39">
        <f>INDEX(Assumptions!$B$64:$F$64,1,BB$5)</f>
        <v>0.55000000000000004</v>
      </c>
      <c r="BC21" s="39">
        <f>INDEX(Assumptions!$B$64:$F$64,1,BC$5)</f>
        <v>0.55000000000000004</v>
      </c>
      <c r="BD21" s="39">
        <f>INDEX(Assumptions!$B$64:$F$64,1,BD$5)</f>
        <v>0.55000000000000004</v>
      </c>
      <c r="BE21" s="39">
        <f>INDEX(Assumptions!$B$64:$F$64,1,BE$5)</f>
        <v>0.55000000000000004</v>
      </c>
      <c r="BF21" s="39">
        <f>INDEX(Assumptions!$B$64:$F$64,1,BF$5)</f>
        <v>0.55000000000000004</v>
      </c>
      <c r="BG21" s="39">
        <f>INDEX(Assumptions!$B$64:$F$64,1,BG$5)</f>
        <v>0.55000000000000004</v>
      </c>
      <c r="BH21" s="39">
        <f>INDEX(Assumptions!$B$64:$F$64,1,BH$5)</f>
        <v>0.55000000000000004</v>
      </c>
      <c r="BI21" s="40">
        <f>INDEX(Assumptions!$B$64:$F$64,1,BI$5)</f>
        <v>0.55000000000000004</v>
      </c>
    </row>
    <row r="22" spans="1:61" ht="15">
      <c r="A22" s="36" t="s">
        <v>293</v>
      </c>
      <c r="B22" s="47">
        <f t="shared" ref="B22:AG22" si="16">B13*B21*B20/12</f>
        <v>1.4E-3</v>
      </c>
      <c r="C22" s="47">
        <f t="shared" si="16"/>
        <v>2.8E-3</v>
      </c>
      <c r="D22" s="47">
        <f t="shared" si="16"/>
        <v>4.1999999999999997E-3</v>
      </c>
      <c r="E22" s="47">
        <f t="shared" si="16"/>
        <v>5.5999999999999999E-3</v>
      </c>
      <c r="F22" s="47">
        <f t="shared" si="16"/>
        <v>7.0000000000000001E-3</v>
      </c>
      <c r="G22" s="47">
        <f t="shared" si="16"/>
        <v>8.3999999999999995E-3</v>
      </c>
      <c r="H22" s="47">
        <f t="shared" si="16"/>
        <v>9.7999999999999997E-3</v>
      </c>
      <c r="I22" s="47">
        <f t="shared" si="16"/>
        <v>1.12E-2</v>
      </c>
      <c r="J22" s="47">
        <f t="shared" si="16"/>
        <v>1.26E-2</v>
      </c>
      <c r="K22" s="47">
        <f t="shared" si="16"/>
        <v>1.4E-2</v>
      </c>
      <c r="L22" s="47">
        <f t="shared" si="16"/>
        <v>1.5399999999999999E-2</v>
      </c>
      <c r="M22" s="47">
        <f t="shared" si="16"/>
        <v>1.6799999999999999E-2</v>
      </c>
      <c r="N22" s="47">
        <f t="shared" si="16"/>
        <v>2.8312500000000001E-2</v>
      </c>
      <c r="O22" s="47">
        <f t="shared" si="16"/>
        <v>2.9624999999999999E-2</v>
      </c>
      <c r="P22" s="47">
        <f t="shared" si="16"/>
        <v>3.0937499999999996E-2</v>
      </c>
      <c r="Q22" s="47">
        <f t="shared" si="16"/>
        <v>3.2250000000000008E-2</v>
      </c>
      <c r="R22" s="47">
        <f t="shared" si="16"/>
        <v>3.3562499999999988E-2</v>
      </c>
      <c r="S22" s="47">
        <f t="shared" si="16"/>
        <v>3.4875000000000003E-2</v>
      </c>
      <c r="T22" s="47">
        <f t="shared" si="16"/>
        <v>3.6187500000000004E-2</v>
      </c>
      <c r="U22" s="47">
        <f t="shared" si="16"/>
        <v>3.7499999999999999E-2</v>
      </c>
      <c r="V22" s="47">
        <f t="shared" si="16"/>
        <v>3.88125E-2</v>
      </c>
      <c r="W22" s="47">
        <f t="shared" si="16"/>
        <v>4.0125000000000001E-2</v>
      </c>
      <c r="X22" s="47">
        <f t="shared" si="16"/>
        <v>4.1437499999999995E-2</v>
      </c>
      <c r="Y22" s="47">
        <f t="shared" si="16"/>
        <v>4.2750000000000003E-2</v>
      </c>
      <c r="Z22" s="47">
        <f t="shared" si="16"/>
        <v>7.4062500000000003E-2</v>
      </c>
      <c r="AA22" s="47">
        <f t="shared" si="16"/>
        <v>7.6874999999999999E-2</v>
      </c>
      <c r="AB22" s="47">
        <f t="shared" si="16"/>
        <v>7.9687500000000008E-2</v>
      </c>
      <c r="AC22" s="47">
        <f t="shared" si="16"/>
        <v>8.2500000000000004E-2</v>
      </c>
      <c r="AD22" s="47">
        <f t="shared" si="16"/>
        <v>8.5312499999999999E-2</v>
      </c>
      <c r="AE22" s="47">
        <f t="shared" si="16"/>
        <v>8.8125000000000009E-2</v>
      </c>
      <c r="AF22" s="47">
        <f t="shared" si="16"/>
        <v>9.0937500000000004E-2</v>
      </c>
      <c r="AG22" s="47">
        <f t="shared" si="16"/>
        <v>9.375E-2</v>
      </c>
      <c r="AH22" s="47">
        <f t="shared" ref="AH22:BI22" si="17">AH13*AH21*AH20/12</f>
        <v>9.6562499999999996E-2</v>
      </c>
      <c r="AI22" s="47">
        <f t="shared" si="17"/>
        <v>9.9375000000000005E-2</v>
      </c>
      <c r="AJ22" s="47">
        <f t="shared" si="17"/>
        <v>0.1021875</v>
      </c>
      <c r="AK22" s="47">
        <f t="shared" si="17"/>
        <v>0.105</v>
      </c>
      <c r="AL22" s="47">
        <f t="shared" si="17"/>
        <v>0.16614583333333335</v>
      </c>
      <c r="AM22" s="47">
        <f t="shared" si="17"/>
        <v>0.171875</v>
      </c>
      <c r="AN22" s="47">
        <f t="shared" si="17"/>
        <v>0.17760416666666667</v>
      </c>
      <c r="AO22" s="47">
        <f t="shared" si="17"/>
        <v>0.18333333333333335</v>
      </c>
      <c r="AP22" s="47">
        <f t="shared" si="17"/>
        <v>0.18906250000000002</v>
      </c>
      <c r="AQ22" s="47">
        <f t="shared" si="17"/>
        <v>0.19479166666666667</v>
      </c>
      <c r="AR22" s="47">
        <f t="shared" si="17"/>
        <v>0.20052083333333334</v>
      </c>
      <c r="AS22" s="47">
        <f t="shared" si="17"/>
        <v>0.20625000000000002</v>
      </c>
      <c r="AT22" s="47">
        <f t="shared" si="17"/>
        <v>0.21197916666666669</v>
      </c>
      <c r="AU22" s="47">
        <f t="shared" si="17"/>
        <v>0.21770833333333336</v>
      </c>
      <c r="AV22" s="47">
        <f t="shared" si="17"/>
        <v>0.22343750000000004</v>
      </c>
      <c r="AW22" s="47">
        <f t="shared" si="17"/>
        <v>0.22916666666666666</v>
      </c>
      <c r="AX22" s="47">
        <f t="shared" si="17"/>
        <v>0.33825</v>
      </c>
      <c r="AY22" s="47">
        <f t="shared" si="17"/>
        <v>0.34650000000000003</v>
      </c>
      <c r="AZ22" s="47">
        <f t="shared" si="17"/>
        <v>0.35474999999999995</v>
      </c>
      <c r="BA22" s="47">
        <f t="shared" si="17"/>
        <v>0.36300000000000004</v>
      </c>
      <c r="BB22" s="47">
        <f t="shared" si="17"/>
        <v>0.37125000000000002</v>
      </c>
      <c r="BC22" s="47">
        <f t="shared" si="17"/>
        <v>0.3795</v>
      </c>
      <c r="BD22" s="47">
        <f t="shared" si="17"/>
        <v>0.38775000000000004</v>
      </c>
      <c r="BE22" s="47">
        <f t="shared" si="17"/>
        <v>0.39599999999999996</v>
      </c>
      <c r="BF22" s="47">
        <f t="shared" si="17"/>
        <v>0.40425</v>
      </c>
      <c r="BG22" s="47">
        <f t="shared" si="17"/>
        <v>0.41250000000000003</v>
      </c>
      <c r="BH22" s="47">
        <f t="shared" si="17"/>
        <v>0.42075000000000001</v>
      </c>
      <c r="BI22" s="48">
        <f t="shared" si="17"/>
        <v>0.42900000000000005</v>
      </c>
    </row>
    <row r="23" spans="1:61" ht="15">
      <c r="A23" s="36" t="s">
        <v>260</v>
      </c>
      <c r="B23" s="39">
        <f>INDEX(Assumptions!$B$69:$F$69,1,B$5)</f>
        <v>4.4999999999999998E-2</v>
      </c>
      <c r="C23" s="39">
        <f>INDEX(Assumptions!$B$69:$F$69,1,C$5)</f>
        <v>4.4999999999999998E-2</v>
      </c>
      <c r="D23" s="39">
        <f>INDEX(Assumptions!$B$69:$F$69,1,D$5)</f>
        <v>4.4999999999999998E-2</v>
      </c>
      <c r="E23" s="39">
        <f>INDEX(Assumptions!$B$69:$F$69,1,E$5)</f>
        <v>4.4999999999999998E-2</v>
      </c>
      <c r="F23" s="39">
        <f>INDEX(Assumptions!$B$69:$F$69,1,F$5)</f>
        <v>4.4999999999999998E-2</v>
      </c>
      <c r="G23" s="39">
        <f>INDEX(Assumptions!$B$69:$F$69,1,G$5)</f>
        <v>4.4999999999999998E-2</v>
      </c>
      <c r="H23" s="39">
        <f>INDEX(Assumptions!$B$69:$F$69,1,H$5)</f>
        <v>4.4999999999999998E-2</v>
      </c>
      <c r="I23" s="39">
        <f>INDEX(Assumptions!$B$69:$F$69,1,I$5)</f>
        <v>4.4999999999999998E-2</v>
      </c>
      <c r="J23" s="39">
        <f>INDEX(Assumptions!$B$69:$F$69,1,J$5)</f>
        <v>4.4999999999999998E-2</v>
      </c>
      <c r="K23" s="39">
        <f>INDEX(Assumptions!$B$69:$F$69,1,K$5)</f>
        <v>4.4999999999999998E-2</v>
      </c>
      <c r="L23" s="39">
        <f>INDEX(Assumptions!$B$69:$F$69,1,L$5)</f>
        <v>4.4999999999999998E-2</v>
      </c>
      <c r="M23" s="39">
        <f>INDEX(Assumptions!$B$69:$F$69,1,M$5)</f>
        <v>4.4999999999999998E-2</v>
      </c>
      <c r="N23" s="39">
        <f>INDEX(Assumptions!$B$69:$F$69,1,N$5)</f>
        <v>4.8000000000000001E-2</v>
      </c>
      <c r="O23" s="39">
        <f>INDEX(Assumptions!$B$69:$F$69,1,O$5)</f>
        <v>4.8000000000000001E-2</v>
      </c>
      <c r="P23" s="39">
        <f>INDEX(Assumptions!$B$69:$F$69,1,P$5)</f>
        <v>4.8000000000000001E-2</v>
      </c>
      <c r="Q23" s="39">
        <f>INDEX(Assumptions!$B$69:$F$69,1,Q$5)</f>
        <v>4.8000000000000001E-2</v>
      </c>
      <c r="R23" s="39">
        <f>INDEX(Assumptions!$B$69:$F$69,1,R$5)</f>
        <v>4.8000000000000001E-2</v>
      </c>
      <c r="S23" s="39">
        <f>INDEX(Assumptions!$B$69:$F$69,1,S$5)</f>
        <v>4.8000000000000001E-2</v>
      </c>
      <c r="T23" s="39">
        <f>INDEX(Assumptions!$B$69:$F$69,1,T$5)</f>
        <v>4.8000000000000001E-2</v>
      </c>
      <c r="U23" s="39">
        <f>INDEX(Assumptions!$B$69:$F$69,1,U$5)</f>
        <v>4.8000000000000001E-2</v>
      </c>
      <c r="V23" s="39">
        <f>INDEX(Assumptions!$B$69:$F$69,1,V$5)</f>
        <v>4.8000000000000001E-2</v>
      </c>
      <c r="W23" s="39">
        <f>INDEX(Assumptions!$B$69:$F$69,1,W$5)</f>
        <v>4.8000000000000001E-2</v>
      </c>
      <c r="X23" s="39">
        <f>INDEX(Assumptions!$B$69:$F$69,1,X$5)</f>
        <v>4.8000000000000001E-2</v>
      </c>
      <c r="Y23" s="39">
        <f>INDEX(Assumptions!$B$69:$F$69,1,Y$5)</f>
        <v>4.8000000000000001E-2</v>
      </c>
      <c r="Z23" s="39">
        <f>INDEX(Assumptions!$B$69:$F$69,1,Z$5)</f>
        <v>0.05</v>
      </c>
      <c r="AA23" s="39">
        <f>INDEX(Assumptions!$B$69:$F$69,1,AA$5)</f>
        <v>0.05</v>
      </c>
      <c r="AB23" s="39">
        <f>INDEX(Assumptions!$B$69:$F$69,1,AB$5)</f>
        <v>0.05</v>
      </c>
      <c r="AC23" s="39">
        <f>INDEX(Assumptions!$B$69:$F$69,1,AC$5)</f>
        <v>0.05</v>
      </c>
      <c r="AD23" s="39">
        <f>INDEX(Assumptions!$B$69:$F$69,1,AD$5)</f>
        <v>0.05</v>
      </c>
      <c r="AE23" s="39">
        <f>INDEX(Assumptions!$B$69:$F$69,1,AE$5)</f>
        <v>0.05</v>
      </c>
      <c r="AF23" s="39">
        <f>INDEX(Assumptions!$B$69:$F$69,1,AF$5)</f>
        <v>0.05</v>
      </c>
      <c r="AG23" s="39">
        <f>INDEX(Assumptions!$B$69:$F$69,1,AG$5)</f>
        <v>0.05</v>
      </c>
      <c r="AH23" s="39">
        <f>INDEX(Assumptions!$B$69:$F$69,1,AH$5)</f>
        <v>0.05</v>
      </c>
      <c r="AI23" s="39">
        <f>INDEX(Assumptions!$B$69:$F$69,1,AI$5)</f>
        <v>0.05</v>
      </c>
      <c r="AJ23" s="39">
        <f>INDEX(Assumptions!$B$69:$F$69,1,AJ$5)</f>
        <v>0.05</v>
      </c>
      <c r="AK23" s="39">
        <f>INDEX(Assumptions!$B$69:$F$69,1,AK$5)</f>
        <v>0.05</v>
      </c>
      <c r="AL23" s="39">
        <f>INDEX(Assumptions!$B$69:$F$69,1,AL$5)</f>
        <v>5.1999999999999998E-2</v>
      </c>
      <c r="AM23" s="39">
        <f>INDEX(Assumptions!$B$69:$F$69,1,AM$5)</f>
        <v>5.1999999999999998E-2</v>
      </c>
      <c r="AN23" s="39">
        <f>INDEX(Assumptions!$B$69:$F$69,1,AN$5)</f>
        <v>5.1999999999999998E-2</v>
      </c>
      <c r="AO23" s="39">
        <f>INDEX(Assumptions!$B$69:$F$69,1,AO$5)</f>
        <v>5.1999999999999998E-2</v>
      </c>
      <c r="AP23" s="39">
        <f>INDEX(Assumptions!$B$69:$F$69,1,AP$5)</f>
        <v>5.1999999999999998E-2</v>
      </c>
      <c r="AQ23" s="39">
        <f>INDEX(Assumptions!$B$69:$F$69,1,AQ$5)</f>
        <v>5.1999999999999998E-2</v>
      </c>
      <c r="AR23" s="39">
        <f>INDEX(Assumptions!$B$69:$F$69,1,AR$5)</f>
        <v>5.1999999999999998E-2</v>
      </c>
      <c r="AS23" s="39">
        <f>INDEX(Assumptions!$B$69:$F$69,1,AS$5)</f>
        <v>5.1999999999999998E-2</v>
      </c>
      <c r="AT23" s="39">
        <f>INDEX(Assumptions!$B$69:$F$69,1,AT$5)</f>
        <v>5.1999999999999998E-2</v>
      </c>
      <c r="AU23" s="39">
        <f>INDEX(Assumptions!$B$69:$F$69,1,AU$5)</f>
        <v>5.1999999999999998E-2</v>
      </c>
      <c r="AV23" s="39">
        <f>INDEX(Assumptions!$B$69:$F$69,1,AV$5)</f>
        <v>5.1999999999999998E-2</v>
      </c>
      <c r="AW23" s="39">
        <f>INDEX(Assumptions!$B$69:$F$69,1,AW$5)</f>
        <v>5.1999999999999998E-2</v>
      </c>
      <c r="AX23" s="39">
        <f>INDEX(Assumptions!$B$69:$F$69,1,AX$5)</f>
        <v>5.2999999999999999E-2</v>
      </c>
      <c r="AY23" s="39">
        <f>INDEX(Assumptions!$B$69:$F$69,1,AY$5)</f>
        <v>5.2999999999999999E-2</v>
      </c>
      <c r="AZ23" s="39">
        <f>INDEX(Assumptions!$B$69:$F$69,1,AZ$5)</f>
        <v>5.2999999999999999E-2</v>
      </c>
      <c r="BA23" s="39">
        <f>INDEX(Assumptions!$B$69:$F$69,1,BA$5)</f>
        <v>5.2999999999999999E-2</v>
      </c>
      <c r="BB23" s="39">
        <f>INDEX(Assumptions!$B$69:$F$69,1,BB$5)</f>
        <v>5.2999999999999999E-2</v>
      </c>
      <c r="BC23" s="39">
        <f>INDEX(Assumptions!$B$69:$F$69,1,BC$5)</f>
        <v>5.2999999999999999E-2</v>
      </c>
      <c r="BD23" s="39">
        <f>INDEX(Assumptions!$B$69:$F$69,1,BD$5)</f>
        <v>5.2999999999999999E-2</v>
      </c>
      <c r="BE23" s="39">
        <f>INDEX(Assumptions!$B$69:$F$69,1,BE$5)</f>
        <v>5.2999999999999999E-2</v>
      </c>
      <c r="BF23" s="39">
        <f>INDEX(Assumptions!$B$69:$F$69,1,BF$5)</f>
        <v>5.2999999999999999E-2</v>
      </c>
      <c r="BG23" s="39">
        <f>INDEX(Assumptions!$B$69:$F$69,1,BG$5)</f>
        <v>5.2999999999999999E-2</v>
      </c>
      <c r="BH23" s="39">
        <f>INDEX(Assumptions!$B$69:$F$69,1,BH$5)</f>
        <v>5.2999999999999999E-2</v>
      </c>
      <c r="BI23" s="40">
        <f>INDEX(Assumptions!$B$69:$F$69,1,BI$5)</f>
        <v>5.2999999999999999E-2</v>
      </c>
    </row>
    <row r="24" spans="1:61" ht="15">
      <c r="A24" s="36" t="s">
        <v>294</v>
      </c>
      <c r="B24" s="47">
        <f t="shared" ref="B24:AG24" si="18">MAX(0,B42+B13-B16-B36)*B23/12</f>
        <v>0.11708281250000001</v>
      </c>
      <c r="C24" s="47">
        <f t="shared" si="18"/>
        <v>0.12184218749999999</v>
      </c>
      <c r="D24" s="47">
        <f t="shared" si="18"/>
        <v>0.12677812499999999</v>
      </c>
      <c r="E24" s="47">
        <f t="shared" si="18"/>
        <v>0.13189062500000001</v>
      </c>
      <c r="F24" s="47">
        <f t="shared" si="18"/>
        <v>0.13717968749999998</v>
      </c>
      <c r="G24" s="47">
        <f t="shared" si="18"/>
        <v>0.14264531249999998</v>
      </c>
      <c r="H24" s="47">
        <f t="shared" si="18"/>
        <v>0.14828749999999999</v>
      </c>
      <c r="I24" s="47">
        <f t="shared" si="18"/>
        <v>0.15410624999999997</v>
      </c>
      <c r="J24" s="47">
        <f t="shared" si="18"/>
        <v>0.16010156249999999</v>
      </c>
      <c r="K24" s="47">
        <f t="shared" si="18"/>
        <v>0.16627343749999998</v>
      </c>
      <c r="L24" s="47">
        <f t="shared" si="18"/>
        <v>0.17262187500000001</v>
      </c>
      <c r="M24" s="47">
        <f t="shared" si="18"/>
        <v>0.17914687500000001</v>
      </c>
      <c r="N24" s="47">
        <f t="shared" si="18"/>
        <v>0.36055688888888898</v>
      </c>
      <c r="O24" s="47">
        <f t="shared" si="18"/>
        <v>0.36589899999999997</v>
      </c>
      <c r="P24" s="47">
        <f t="shared" si="18"/>
        <v>0.37111633333333333</v>
      </c>
      <c r="Q24" s="47">
        <f t="shared" si="18"/>
        <v>0.37620888888888887</v>
      </c>
      <c r="R24" s="47">
        <f t="shared" si="18"/>
        <v>0.38117666666666672</v>
      </c>
      <c r="S24" s="47">
        <f t="shared" si="18"/>
        <v>0.38601966666666665</v>
      </c>
      <c r="T24" s="47">
        <f t="shared" si="18"/>
        <v>0.39073788888888883</v>
      </c>
      <c r="U24" s="47">
        <f t="shared" si="18"/>
        <v>0.39533133333333331</v>
      </c>
      <c r="V24" s="47">
        <f t="shared" si="18"/>
        <v>0.39979999999999993</v>
      </c>
      <c r="W24" s="47">
        <f t="shared" si="18"/>
        <v>0.4041438888888888</v>
      </c>
      <c r="X24" s="47">
        <f t="shared" si="18"/>
        <v>0.40836299999999998</v>
      </c>
      <c r="Y24" s="47">
        <f t="shared" si="18"/>
        <v>0.41261466666666663</v>
      </c>
      <c r="Z24" s="47">
        <f t="shared" si="18"/>
        <v>0.57059293981481485</v>
      </c>
      <c r="AA24" s="47">
        <f t="shared" si="18"/>
        <v>0.58223090277777778</v>
      </c>
      <c r="AB24" s="47">
        <f t="shared" si="18"/>
        <v>0.59392916666666662</v>
      </c>
      <c r="AC24" s="47">
        <f t="shared" si="18"/>
        <v>0.60585162037037044</v>
      </c>
      <c r="AD24" s="47">
        <f t="shared" si="18"/>
        <v>0.6176677083333334</v>
      </c>
      <c r="AE24" s="47">
        <f t="shared" si="18"/>
        <v>0.62954409722222215</v>
      </c>
      <c r="AF24" s="47">
        <f t="shared" si="18"/>
        <v>0.64148078703703704</v>
      </c>
      <c r="AG24" s="47">
        <f t="shared" si="18"/>
        <v>0.65364166666666668</v>
      </c>
      <c r="AH24" s="47">
        <f t="shared" ref="AH24:BI24" si="19">MAX(0,AH42+AH13-AH16-AH36)*AH23/12</f>
        <v>0.66569618055555557</v>
      </c>
      <c r="AI24" s="47">
        <f t="shared" si="19"/>
        <v>0.67781099537037026</v>
      </c>
      <c r="AJ24" s="47">
        <f t="shared" si="19"/>
        <v>0.68998611111111119</v>
      </c>
      <c r="AK24" s="47">
        <f t="shared" si="19"/>
        <v>0.70238541666666665</v>
      </c>
      <c r="AL24" s="47">
        <f t="shared" si="19"/>
        <v>0.72562749999999998</v>
      </c>
      <c r="AM24" s="47">
        <f t="shared" si="19"/>
        <v>0.74206527777777775</v>
      </c>
      <c r="AN24" s="47">
        <f t="shared" si="19"/>
        <v>0.75856083333333324</v>
      </c>
      <c r="AO24" s="47">
        <f t="shared" si="19"/>
        <v>0.77511416666666666</v>
      </c>
      <c r="AP24" s="47">
        <f t="shared" si="19"/>
        <v>0.79172527777777768</v>
      </c>
      <c r="AQ24" s="47">
        <f t="shared" si="19"/>
        <v>0.80839416666666664</v>
      </c>
      <c r="AR24" s="47">
        <f t="shared" si="19"/>
        <v>0.82512083333333341</v>
      </c>
      <c r="AS24" s="47">
        <f t="shared" si="19"/>
        <v>0.84190527777777779</v>
      </c>
      <c r="AT24" s="47">
        <f t="shared" si="19"/>
        <v>0.85874750000000011</v>
      </c>
      <c r="AU24" s="47">
        <f t="shared" si="19"/>
        <v>0.87564750000000025</v>
      </c>
      <c r="AV24" s="47">
        <f t="shared" si="19"/>
        <v>0.89260527777777787</v>
      </c>
      <c r="AW24" s="47">
        <f t="shared" si="19"/>
        <v>0.90962083333333332</v>
      </c>
      <c r="AX24" s="47">
        <f t="shared" si="19"/>
        <v>0.94904229166666676</v>
      </c>
      <c r="AY24" s="47">
        <f t="shared" si="19"/>
        <v>0.96661326388888902</v>
      </c>
      <c r="AZ24" s="47">
        <f t="shared" si="19"/>
        <v>0.98424312500000022</v>
      </c>
      <c r="BA24" s="47">
        <f t="shared" si="19"/>
        <v>1.0019318750000001</v>
      </c>
      <c r="BB24" s="47">
        <f t="shared" si="19"/>
        <v>1.019679513888889</v>
      </c>
      <c r="BC24" s="47">
        <f t="shared" si="19"/>
        <v>1.0374860416666669</v>
      </c>
      <c r="BD24" s="47">
        <f t="shared" si="19"/>
        <v>1.0553514583333334</v>
      </c>
      <c r="BE24" s="47">
        <f t="shared" si="19"/>
        <v>1.073275763888889</v>
      </c>
      <c r="BF24" s="47">
        <f t="shared" si="19"/>
        <v>1.0912589583333334</v>
      </c>
      <c r="BG24" s="47">
        <f t="shared" si="19"/>
        <v>1.1093010416666667</v>
      </c>
      <c r="BH24" s="47">
        <f t="shared" si="19"/>
        <v>1.1274020138888889</v>
      </c>
      <c r="BI24" s="48">
        <f t="shared" si="19"/>
        <v>1.1455618750000001</v>
      </c>
    </row>
    <row r="25" spans="1:61" ht="15">
      <c r="A25" s="36" t="s">
        <v>295</v>
      </c>
      <c r="B25" s="47">
        <f t="shared" ref="B25:AG25" si="20">B11+B19+B24</f>
        <v>0.14328281250000002</v>
      </c>
      <c r="C25" s="47">
        <f t="shared" si="20"/>
        <v>0.17424218749999998</v>
      </c>
      <c r="D25" s="47">
        <f t="shared" si="20"/>
        <v>0.20537812499999999</v>
      </c>
      <c r="E25" s="47">
        <f t="shared" si="20"/>
        <v>0.23669062500000002</v>
      </c>
      <c r="F25" s="47">
        <f t="shared" si="20"/>
        <v>0.26817968749999999</v>
      </c>
      <c r="G25" s="47">
        <f t="shared" si="20"/>
        <v>0.29984531250000002</v>
      </c>
      <c r="H25" s="47">
        <f t="shared" si="20"/>
        <v>0.33168750000000002</v>
      </c>
      <c r="I25" s="47">
        <f t="shared" si="20"/>
        <v>0.36370625000000001</v>
      </c>
      <c r="J25" s="47">
        <f t="shared" si="20"/>
        <v>0.39590156249999997</v>
      </c>
      <c r="K25" s="47">
        <f t="shared" si="20"/>
        <v>0.42827343750000002</v>
      </c>
      <c r="L25" s="47">
        <f t="shared" si="20"/>
        <v>0.46082187500000005</v>
      </c>
      <c r="M25" s="47">
        <f t="shared" si="20"/>
        <v>0.49354687500000005</v>
      </c>
      <c r="N25" s="47">
        <f t="shared" si="20"/>
        <v>0.70342126388888904</v>
      </c>
      <c r="O25" s="47">
        <f t="shared" si="20"/>
        <v>0.731417125</v>
      </c>
      <c r="P25" s="47">
        <f t="shared" si="20"/>
        <v>0.75990070833333334</v>
      </c>
      <c r="Q25" s="47">
        <f t="shared" si="20"/>
        <v>0.78887201388888895</v>
      </c>
      <c r="R25" s="47">
        <f t="shared" si="20"/>
        <v>0.8183310416666667</v>
      </c>
      <c r="S25" s="47">
        <f t="shared" si="20"/>
        <v>0.84827779166666661</v>
      </c>
      <c r="T25" s="47">
        <f t="shared" si="20"/>
        <v>0.8787122638888889</v>
      </c>
      <c r="U25" s="47">
        <f t="shared" si="20"/>
        <v>0.90963445833333334</v>
      </c>
      <c r="V25" s="47">
        <f t="shared" si="20"/>
        <v>0.94104437499999993</v>
      </c>
      <c r="W25" s="47">
        <f t="shared" si="20"/>
        <v>0.9729420138888889</v>
      </c>
      <c r="X25" s="47">
        <f t="shared" si="20"/>
        <v>1.005327375</v>
      </c>
      <c r="Y25" s="47">
        <f t="shared" si="20"/>
        <v>1.0383577916666666</v>
      </c>
      <c r="Z25" s="47">
        <f t="shared" si="20"/>
        <v>1.3306853356481483</v>
      </c>
      <c r="AA25" s="47">
        <f t="shared" si="20"/>
        <v>1.4559997569444443</v>
      </c>
      <c r="AB25" s="47">
        <f t="shared" si="20"/>
        <v>1.4998723958333333</v>
      </c>
      <c r="AC25" s="47">
        <f t="shared" si="20"/>
        <v>1.5439692245370371</v>
      </c>
      <c r="AD25" s="47">
        <f t="shared" si="20"/>
        <v>1.5879596875000002</v>
      </c>
      <c r="AE25" s="47">
        <f t="shared" si="20"/>
        <v>1.6320104513888889</v>
      </c>
      <c r="AF25" s="47">
        <f t="shared" si="20"/>
        <v>1.6761215162037035</v>
      </c>
      <c r="AG25" s="47">
        <f t="shared" si="20"/>
        <v>1.7204567708333334</v>
      </c>
      <c r="AH25" s="47">
        <f t="shared" ref="AH25:BI25" si="21">AH11+AH19+AH24</f>
        <v>1.7646856597222222</v>
      </c>
      <c r="AI25" s="47">
        <f t="shared" si="21"/>
        <v>1.8089748495370368</v>
      </c>
      <c r="AJ25" s="47">
        <f t="shared" si="21"/>
        <v>1.8533243402777779</v>
      </c>
      <c r="AK25" s="47">
        <f t="shared" si="21"/>
        <v>1.8978980208333334</v>
      </c>
      <c r="AL25" s="47">
        <f t="shared" si="21"/>
        <v>2.1235537499999997</v>
      </c>
      <c r="AM25" s="47">
        <f t="shared" si="21"/>
        <v>2.3108090277777777</v>
      </c>
      <c r="AN25" s="47">
        <f t="shared" si="21"/>
        <v>2.379997083333333</v>
      </c>
      <c r="AO25" s="47">
        <f t="shared" si="21"/>
        <v>2.4492429166666665</v>
      </c>
      <c r="AP25" s="47">
        <f t="shared" si="21"/>
        <v>2.5185465277777777</v>
      </c>
      <c r="AQ25" s="47">
        <f t="shared" si="21"/>
        <v>2.5879079166666665</v>
      </c>
      <c r="AR25" s="47">
        <f t="shared" si="21"/>
        <v>2.6573270833333336</v>
      </c>
      <c r="AS25" s="47">
        <f t="shared" si="21"/>
        <v>2.7268040277777779</v>
      </c>
      <c r="AT25" s="47">
        <f t="shared" si="21"/>
        <v>2.7963387499999999</v>
      </c>
      <c r="AU25" s="47">
        <f t="shared" si="21"/>
        <v>2.86593125</v>
      </c>
      <c r="AV25" s="47">
        <f t="shared" si="21"/>
        <v>2.9355815277777775</v>
      </c>
      <c r="AW25" s="47">
        <f t="shared" si="21"/>
        <v>3.0052895833333331</v>
      </c>
      <c r="AX25" s="47">
        <f t="shared" si="21"/>
        <v>3.2543822916666669</v>
      </c>
      <c r="AY25" s="47">
        <f t="shared" si="21"/>
        <v>3.450193263888889</v>
      </c>
      <c r="AZ25" s="47">
        <f t="shared" si="21"/>
        <v>3.5273131250000005</v>
      </c>
      <c r="BA25" s="47">
        <f t="shared" si="21"/>
        <v>3.6044918749999999</v>
      </c>
      <c r="BB25" s="47">
        <f t="shared" si="21"/>
        <v>3.6817295138888886</v>
      </c>
      <c r="BC25" s="47">
        <f t="shared" si="21"/>
        <v>3.759026041666667</v>
      </c>
      <c r="BD25" s="47">
        <f t="shared" si="21"/>
        <v>3.8363814583333338</v>
      </c>
      <c r="BE25" s="47">
        <f t="shared" si="21"/>
        <v>3.9137957638888885</v>
      </c>
      <c r="BF25" s="47">
        <f t="shared" si="21"/>
        <v>3.9912689583333334</v>
      </c>
      <c r="BG25" s="47">
        <f t="shared" si="21"/>
        <v>4.0688010416666671</v>
      </c>
      <c r="BH25" s="47">
        <f t="shared" si="21"/>
        <v>4.1463920138888888</v>
      </c>
      <c r="BI25" s="48">
        <f t="shared" si="21"/>
        <v>4.2240418750000002</v>
      </c>
    </row>
    <row r="26" spans="1:61" ht="30">
      <c r="A26" s="36" t="s">
        <v>296</v>
      </c>
      <c r="B26" s="47">
        <f t="shared" ref="B26:AG26" si="22">B25-B22</f>
        <v>0.14188281250000001</v>
      </c>
      <c r="C26" s="47">
        <f t="shared" si="22"/>
        <v>0.17144218749999998</v>
      </c>
      <c r="D26" s="47">
        <f t="shared" si="22"/>
        <v>0.20117812499999999</v>
      </c>
      <c r="E26" s="47">
        <f t="shared" si="22"/>
        <v>0.23109062500000002</v>
      </c>
      <c r="F26" s="47">
        <f t="shared" si="22"/>
        <v>0.26117968749999998</v>
      </c>
      <c r="G26" s="47">
        <f t="shared" si="22"/>
        <v>0.2914453125</v>
      </c>
      <c r="H26" s="47">
        <f t="shared" si="22"/>
        <v>0.32188750000000005</v>
      </c>
      <c r="I26" s="47">
        <f t="shared" si="22"/>
        <v>0.35250625000000002</v>
      </c>
      <c r="J26" s="47">
        <f t="shared" si="22"/>
        <v>0.38330156249999997</v>
      </c>
      <c r="K26" s="47">
        <f t="shared" si="22"/>
        <v>0.41427343750000001</v>
      </c>
      <c r="L26" s="47">
        <f t="shared" si="22"/>
        <v>0.44542187500000002</v>
      </c>
      <c r="M26" s="47">
        <f t="shared" si="22"/>
        <v>0.47674687500000007</v>
      </c>
      <c r="N26" s="47">
        <f t="shared" si="22"/>
        <v>0.67510876388888907</v>
      </c>
      <c r="O26" s="47">
        <f t="shared" si="22"/>
        <v>0.70179212499999999</v>
      </c>
      <c r="P26" s="47">
        <f t="shared" si="22"/>
        <v>0.72896320833333339</v>
      </c>
      <c r="Q26" s="47">
        <f t="shared" si="22"/>
        <v>0.75662201388888894</v>
      </c>
      <c r="R26" s="47">
        <f t="shared" si="22"/>
        <v>0.78476854166666676</v>
      </c>
      <c r="S26" s="47">
        <f t="shared" si="22"/>
        <v>0.81340279166666662</v>
      </c>
      <c r="T26" s="47">
        <f t="shared" si="22"/>
        <v>0.84252476388888886</v>
      </c>
      <c r="U26" s="47">
        <f t="shared" si="22"/>
        <v>0.87213445833333336</v>
      </c>
      <c r="V26" s="47">
        <f t="shared" si="22"/>
        <v>0.90223187499999991</v>
      </c>
      <c r="W26" s="47">
        <f t="shared" si="22"/>
        <v>0.93281701388888894</v>
      </c>
      <c r="X26" s="47">
        <f t="shared" si="22"/>
        <v>0.96388987500000001</v>
      </c>
      <c r="Y26" s="47">
        <f t="shared" si="22"/>
        <v>0.99560779166666669</v>
      </c>
      <c r="Z26" s="47">
        <f t="shared" si="22"/>
        <v>1.2566228356481484</v>
      </c>
      <c r="AA26" s="47">
        <f t="shared" si="22"/>
        <v>1.3791247569444443</v>
      </c>
      <c r="AB26" s="47">
        <f t="shared" si="22"/>
        <v>1.4201848958333334</v>
      </c>
      <c r="AC26" s="47">
        <f t="shared" si="22"/>
        <v>1.4614692245370371</v>
      </c>
      <c r="AD26" s="47">
        <f t="shared" si="22"/>
        <v>1.5026471875000003</v>
      </c>
      <c r="AE26" s="47">
        <f t="shared" si="22"/>
        <v>1.5438854513888889</v>
      </c>
      <c r="AF26" s="47">
        <f t="shared" si="22"/>
        <v>1.5851840162037036</v>
      </c>
      <c r="AG26" s="47">
        <f t="shared" si="22"/>
        <v>1.6267067708333334</v>
      </c>
      <c r="AH26" s="47">
        <f t="shared" ref="AH26:BI26" si="23">AH25-AH22</f>
        <v>1.6681231597222221</v>
      </c>
      <c r="AI26" s="47">
        <f t="shared" si="23"/>
        <v>1.7095998495370368</v>
      </c>
      <c r="AJ26" s="47">
        <f t="shared" si="23"/>
        <v>1.7511368402777778</v>
      </c>
      <c r="AK26" s="47">
        <f t="shared" si="23"/>
        <v>1.7928980208333334</v>
      </c>
      <c r="AL26" s="47">
        <f t="shared" si="23"/>
        <v>1.9574079166666662</v>
      </c>
      <c r="AM26" s="47">
        <f t="shared" si="23"/>
        <v>2.1389340277777777</v>
      </c>
      <c r="AN26" s="47">
        <f t="shared" si="23"/>
        <v>2.2023929166666663</v>
      </c>
      <c r="AO26" s="47">
        <f t="shared" si="23"/>
        <v>2.2659095833333334</v>
      </c>
      <c r="AP26" s="47">
        <f t="shared" si="23"/>
        <v>2.3294840277777777</v>
      </c>
      <c r="AQ26" s="47">
        <f t="shared" si="23"/>
        <v>2.3931162499999998</v>
      </c>
      <c r="AR26" s="47">
        <f t="shared" si="23"/>
        <v>2.4568062500000001</v>
      </c>
      <c r="AS26" s="47">
        <f t="shared" si="23"/>
        <v>2.520554027777778</v>
      </c>
      <c r="AT26" s="47">
        <f t="shared" si="23"/>
        <v>2.5843595833333333</v>
      </c>
      <c r="AU26" s="47">
        <f t="shared" si="23"/>
        <v>2.6482229166666666</v>
      </c>
      <c r="AV26" s="47">
        <f t="shared" si="23"/>
        <v>2.7121440277777773</v>
      </c>
      <c r="AW26" s="47">
        <f t="shared" si="23"/>
        <v>2.7761229166666666</v>
      </c>
      <c r="AX26" s="47">
        <f t="shared" si="23"/>
        <v>2.916132291666667</v>
      </c>
      <c r="AY26" s="47">
        <f t="shared" si="23"/>
        <v>3.1036932638888892</v>
      </c>
      <c r="AZ26" s="47">
        <f t="shared" si="23"/>
        <v>3.1725631250000004</v>
      </c>
      <c r="BA26" s="47">
        <f t="shared" si="23"/>
        <v>3.2414918749999999</v>
      </c>
      <c r="BB26" s="47">
        <f t="shared" si="23"/>
        <v>3.3104795138888887</v>
      </c>
      <c r="BC26" s="47">
        <f t="shared" si="23"/>
        <v>3.3795260416666668</v>
      </c>
      <c r="BD26" s="47">
        <f t="shared" si="23"/>
        <v>3.4486314583333337</v>
      </c>
      <c r="BE26" s="47">
        <f t="shared" si="23"/>
        <v>3.5177957638888886</v>
      </c>
      <c r="BF26" s="47">
        <f t="shared" si="23"/>
        <v>3.5870189583333332</v>
      </c>
      <c r="BG26" s="47">
        <f t="shared" si="23"/>
        <v>3.656301041666667</v>
      </c>
      <c r="BH26" s="47">
        <f t="shared" si="23"/>
        <v>3.7256420138888888</v>
      </c>
      <c r="BI26" s="48">
        <f t="shared" si="23"/>
        <v>3.7950418749999999</v>
      </c>
    </row>
    <row r="27" spans="1:61" ht="15">
      <c r="A27" s="36" t="s">
        <v>297</v>
      </c>
      <c r="B27" s="47">
        <f>INDEX(Assumptions!$B$65:$F$65,1,B$5)/12</f>
        <v>0.80913333333333337</v>
      </c>
      <c r="C27" s="47">
        <f>INDEX(Assumptions!$B$65:$F$65,1,C$5)/12</f>
        <v>0.80913333333333337</v>
      </c>
      <c r="D27" s="47">
        <f>INDEX(Assumptions!$B$65:$F$65,1,D$5)/12</f>
        <v>0.80913333333333337</v>
      </c>
      <c r="E27" s="47">
        <f>INDEX(Assumptions!$B$65:$F$65,1,E$5)/12</f>
        <v>0.80913333333333337</v>
      </c>
      <c r="F27" s="47">
        <f>INDEX(Assumptions!$B$65:$F$65,1,F$5)/12</f>
        <v>0.80913333333333337</v>
      </c>
      <c r="G27" s="47">
        <f>INDEX(Assumptions!$B$65:$F$65,1,G$5)/12</f>
        <v>0.80913333333333337</v>
      </c>
      <c r="H27" s="47">
        <f>INDEX(Assumptions!$B$65:$F$65,1,H$5)/12</f>
        <v>0.80913333333333337</v>
      </c>
      <c r="I27" s="47">
        <f>INDEX(Assumptions!$B$65:$F$65,1,I$5)/12</f>
        <v>0.80913333333333337</v>
      </c>
      <c r="J27" s="47">
        <f>INDEX(Assumptions!$B$65:$F$65,1,J$5)/12</f>
        <v>0.80913333333333337</v>
      </c>
      <c r="K27" s="47">
        <f>INDEX(Assumptions!$B$65:$F$65,1,K$5)/12</f>
        <v>0.80913333333333337</v>
      </c>
      <c r="L27" s="47">
        <f>INDEX(Assumptions!$B$65:$F$65,1,L$5)/12</f>
        <v>0.80913333333333337</v>
      </c>
      <c r="M27" s="47">
        <f>INDEX(Assumptions!$B$65:$F$65,1,M$5)/12</f>
        <v>0.80913333333333337</v>
      </c>
      <c r="N27" s="47">
        <f>INDEX(Assumptions!$B$65:$F$65,1,N$5)/12</f>
        <v>0.94642499999999974</v>
      </c>
      <c r="O27" s="47">
        <f>INDEX(Assumptions!$B$65:$F$65,1,O$5)/12</f>
        <v>0.94642499999999974</v>
      </c>
      <c r="P27" s="47">
        <f>INDEX(Assumptions!$B$65:$F$65,1,P$5)/12</f>
        <v>0.94642499999999974</v>
      </c>
      <c r="Q27" s="47">
        <f>INDEX(Assumptions!$B$65:$F$65,1,Q$5)/12</f>
        <v>0.94642499999999974</v>
      </c>
      <c r="R27" s="47">
        <f>INDEX(Assumptions!$B$65:$F$65,1,R$5)/12</f>
        <v>0.94642499999999974</v>
      </c>
      <c r="S27" s="47">
        <f>INDEX(Assumptions!$B$65:$F$65,1,S$5)/12</f>
        <v>0.94642499999999974</v>
      </c>
      <c r="T27" s="47">
        <f>INDEX(Assumptions!$B$65:$F$65,1,T$5)/12</f>
        <v>0.94642499999999974</v>
      </c>
      <c r="U27" s="47">
        <f>INDEX(Assumptions!$B$65:$F$65,1,U$5)/12</f>
        <v>0.94642499999999974</v>
      </c>
      <c r="V27" s="47">
        <f>INDEX(Assumptions!$B$65:$F$65,1,V$5)/12</f>
        <v>0.94642499999999974</v>
      </c>
      <c r="W27" s="47">
        <f>INDEX(Assumptions!$B$65:$F$65,1,W$5)/12</f>
        <v>0.94642499999999974</v>
      </c>
      <c r="X27" s="47">
        <f>INDEX(Assumptions!$B$65:$F$65,1,X$5)/12</f>
        <v>0.94642499999999974</v>
      </c>
      <c r="Y27" s="47">
        <f>INDEX(Assumptions!$B$65:$F$65,1,Y$5)/12</f>
        <v>0.94642499999999974</v>
      </c>
      <c r="Z27" s="47">
        <f>INDEX(Assumptions!$B$65:$F$65,1,Z$5)/12</f>
        <v>1.0706666666666669</v>
      </c>
      <c r="AA27" s="47">
        <f>INDEX(Assumptions!$B$65:$F$65,1,AA$5)/12</f>
        <v>1.0706666666666669</v>
      </c>
      <c r="AB27" s="47">
        <f>INDEX(Assumptions!$B$65:$F$65,1,AB$5)/12</f>
        <v>1.0706666666666669</v>
      </c>
      <c r="AC27" s="47">
        <f>INDEX(Assumptions!$B$65:$F$65,1,AC$5)/12</f>
        <v>1.0706666666666669</v>
      </c>
      <c r="AD27" s="47">
        <f>INDEX(Assumptions!$B$65:$F$65,1,AD$5)/12</f>
        <v>1.0706666666666669</v>
      </c>
      <c r="AE27" s="47">
        <f>INDEX(Assumptions!$B$65:$F$65,1,AE$5)/12</f>
        <v>1.0706666666666669</v>
      </c>
      <c r="AF27" s="47">
        <f>INDEX(Assumptions!$B$65:$F$65,1,AF$5)/12</f>
        <v>1.0706666666666669</v>
      </c>
      <c r="AG27" s="47">
        <f>INDEX(Assumptions!$B$65:$F$65,1,AG$5)/12</f>
        <v>1.0706666666666669</v>
      </c>
      <c r="AH27" s="47">
        <f>INDEX(Assumptions!$B$65:$F$65,1,AH$5)/12</f>
        <v>1.0706666666666669</v>
      </c>
      <c r="AI27" s="47">
        <f>INDEX(Assumptions!$B$65:$F$65,1,AI$5)/12</f>
        <v>1.0706666666666669</v>
      </c>
      <c r="AJ27" s="47">
        <f>INDEX(Assumptions!$B$65:$F$65,1,AJ$5)/12</f>
        <v>1.0706666666666669</v>
      </c>
      <c r="AK27" s="47">
        <f>INDEX(Assumptions!$B$65:$F$65,1,AK$5)/12</f>
        <v>1.0706666666666669</v>
      </c>
      <c r="AL27" s="47">
        <f>INDEX(Assumptions!$B$65:$F$65,1,AL$5)/12</f>
        <v>1.202</v>
      </c>
      <c r="AM27" s="47">
        <f>INDEX(Assumptions!$B$65:$F$65,1,AM$5)/12</f>
        <v>1.202</v>
      </c>
      <c r="AN27" s="47">
        <f>INDEX(Assumptions!$B$65:$F$65,1,AN$5)/12</f>
        <v>1.202</v>
      </c>
      <c r="AO27" s="47">
        <f>INDEX(Assumptions!$B$65:$F$65,1,AO$5)/12</f>
        <v>1.202</v>
      </c>
      <c r="AP27" s="47">
        <f>INDEX(Assumptions!$B$65:$F$65,1,AP$5)/12</f>
        <v>1.202</v>
      </c>
      <c r="AQ27" s="47">
        <f>INDEX(Assumptions!$B$65:$F$65,1,AQ$5)/12</f>
        <v>1.202</v>
      </c>
      <c r="AR27" s="47">
        <f>INDEX(Assumptions!$B$65:$F$65,1,AR$5)/12</f>
        <v>1.202</v>
      </c>
      <c r="AS27" s="47">
        <f>INDEX(Assumptions!$B$65:$F$65,1,AS$5)/12</f>
        <v>1.202</v>
      </c>
      <c r="AT27" s="47">
        <f>INDEX(Assumptions!$B$65:$F$65,1,AT$5)/12</f>
        <v>1.202</v>
      </c>
      <c r="AU27" s="47">
        <f>INDEX(Assumptions!$B$65:$F$65,1,AU$5)/12</f>
        <v>1.202</v>
      </c>
      <c r="AV27" s="47">
        <f>INDEX(Assumptions!$B$65:$F$65,1,AV$5)/12</f>
        <v>1.202</v>
      </c>
      <c r="AW27" s="47">
        <f>INDEX(Assumptions!$B$65:$F$65,1,AW$5)/12</f>
        <v>1.202</v>
      </c>
      <c r="AX27" s="47">
        <f>INDEX(Assumptions!$B$65:$F$65,1,AX$5)/12</f>
        <v>1.3410333333333335</v>
      </c>
      <c r="AY27" s="47">
        <f>INDEX(Assumptions!$B$65:$F$65,1,AY$5)/12</f>
        <v>1.3410333333333335</v>
      </c>
      <c r="AZ27" s="47">
        <f>INDEX(Assumptions!$B$65:$F$65,1,AZ$5)/12</f>
        <v>1.3410333333333335</v>
      </c>
      <c r="BA27" s="47">
        <f>INDEX(Assumptions!$B$65:$F$65,1,BA$5)/12</f>
        <v>1.3410333333333335</v>
      </c>
      <c r="BB27" s="47">
        <f>INDEX(Assumptions!$B$65:$F$65,1,BB$5)/12</f>
        <v>1.3410333333333335</v>
      </c>
      <c r="BC27" s="47">
        <f>INDEX(Assumptions!$B$65:$F$65,1,BC$5)/12</f>
        <v>1.3410333333333335</v>
      </c>
      <c r="BD27" s="47">
        <f>INDEX(Assumptions!$B$65:$F$65,1,BD$5)/12</f>
        <v>1.3410333333333335</v>
      </c>
      <c r="BE27" s="47">
        <f>INDEX(Assumptions!$B$65:$F$65,1,BE$5)/12</f>
        <v>1.3410333333333335</v>
      </c>
      <c r="BF27" s="47">
        <f>INDEX(Assumptions!$B$65:$F$65,1,BF$5)/12</f>
        <v>1.3410333333333335</v>
      </c>
      <c r="BG27" s="47">
        <f>INDEX(Assumptions!$B$65:$F$65,1,BG$5)/12</f>
        <v>1.3410333333333335</v>
      </c>
      <c r="BH27" s="47">
        <f>INDEX(Assumptions!$B$65:$F$65,1,BH$5)/12</f>
        <v>1.3410333333333335</v>
      </c>
      <c r="BI27" s="48">
        <f>INDEX(Assumptions!$B$65:$F$65,1,BI$5)/12</f>
        <v>1.3410333333333335</v>
      </c>
    </row>
    <row r="28" spans="1:61" ht="15">
      <c r="A28" s="36" t="s">
        <v>298</v>
      </c>
      <c r="B28" s="47">
        <f>B8*INDEX(Assumptions!$B$66:$F$66,1,B$5)/1000000000</f>
        <v>4.4999999999999997E-3</v>
      </c>
      <c r="C28" s="47">
        <f>C8*INDEX(Assumptions!$B$66:$F$66,1,C$5)/1000000000</f>
        <v>8.9999999999999993E-3</v>
      </c>
      <c r="D28" s="47">
        <f>D8*INDEX(Assumptions!$B$66:$F$66,1,D$5)/1000000000</f>
        <v>1.35E-2</v>
      </c>
      <c r="E28" s="47">
        <f>E8*INDEX(Assumptions!$B$66:$F$66,1,E$5)/1000000000</f>
        <v>1.7999999999999999E-2</v>
      </c>
      <c r="F28" s="47">
        <f>F8*INDEX(Assumptions!$B$66:$F$66,1,F$5)/1000000000</f>
        <v>2.2499999999999999E-2</v>
      </c>
      <c r="G28" s="47">
        <f>G8*INDEX(Assumptions!$B$66:$F$66,1,G$5)/1000000000</f>
        <v>2.7E-2</v>
      </c>
      <c r="H28" s="47">
        <f>H8*INDEX(Assumptions!$B$66:$F$66,1,H$5)/1000000000</f>
        <v>3.15E-2</v>
      </c>
      <c r="I28" s="47">
        <f>I8*INDEX(Assumptions!$B$66:$F$66,1,I$5)/1000000000</f>
        <v>3.5999999999999997E-2</v>
      </c>
      <c r="J28" s="47">
        <f>J8*INDEX(Assumptions!$B$66:$F$66,1,J$5)/1000000000</f>
        <v>4.0500000000000001E-2</v>
      </c>
      <c r="K28" s="47">
        <f>K8*INDEX(Assumptions!$B$66:$F$66,1,K$5)/1000000000</f>
        <v>4.4999999999999998E-2</v>
      </c>
      <c r="L28" s="47">
        <f>L8*INDEX(Assumptions!$B$66:$F$66,1,L$5)/1000000000</f>
        <v>4.9500000000000002E-2</v>
      </c>
      <c r="M28" s="47">
        <f>M8*INDEX(Assumptions!$B$66:$F$66,1,M$5)/1000000000</f>
        <v>5.3999999999999999E-2</v>
      </c>
      <c r="N28" s="47">
        <f>N8*INDEX(Assumptions!$B$66:$F$66,1,N$5)/1000000000</f>
        <v>5.9770833333333329E-2</v>
      </c>
      <c r="O28" s="47">
        <f>O8*INDEX(Assumptions!$B$66:$F$66,1,O$5)/1000000000</f>
        <v>6.2541666666666662E-2</v>
      </c>
      <c r="P28" s="47">
        <f>P8*INDEX(Assumptions!$B$66:$F$66,1,P$5)/1000000000</f>
        <v>6.5312499999999996E-2</v>
      </c>
      <c r="Q28" s="47">
        <f>Q8*INDEX(Assumptions!$B$66:$F$66,1,Q$5)/1000000000</f>
        <v>6.8083333333333343E-2</v>
      </c>
      <c r="R28" s="47">
        <f>R8*INDEX(Assumptions!$B$66:$F$66,1,R$5)/1000000000</f>
        <v>7.0854166666666663E-2</v>
      </c>
      <c r="S28" s="47">
        <f>S8*INDEX(Assumptions!$B$66:$F$66,1,S$5)/1000000000</f>
        <v>7.3624999999999996E-2</v>
      </c>
      <c r="T28" s="47">
        <f>T8*INDEX(Assumptions!$B$66:$F$66,1,T$5)/1000000000</f>
        <v>7.6395833333333343E-2</v>
      </c>
      <c r="U28" s="47">
        <f>U8*INDEX(Assumptions!$B$66:$F$66,1,U$5)/1000000000</f>
        <v>7.9166666666666663E-2</v>
      </c>
      <c r="V28" s="47">
        <f>V8*INDEX(Assumptions!$B$66:$F$66,1,V$5)/1000000000</f>
        <v>8.1937499999999996E-2</v>
      </c>
      <c r="W28" s="47">
        <f>W8*INDEX(Assumptions!$B$66:$F$66,1,W$5)/1000000000</f>
        <v>8.4708333333333344E-2</v>
      </c>
      <c r="X28" s="47">
        <f>X8*INDEX(Assumptions!$B$66:$F$66,1,X$5)/1000000000</f>
        <v>8.7479166666666663E-2</v>
      </c>
      <c r="Y28" s="47">
        <f>Y8*INDEX(Assumptions!$B$66:$F$66,1,Y$5)/1000000000</f>
        <v>9.0249999999999997E-2</v>
      </c>
      <c r="Z28" s="47">
        <f>Z8*INDEX(Assumptions!$B$66:$F$66,1,Z$5)/1000000000</f>
        <v>9.8750000000000004E-2</v>
      </c>
      <c r="AA28" s="47">
        <f>AA8*INDEX(Assumptions!$B$66:$F$66,1,AA$5)/1000000000</f>
        <v>0.10249999999999999</v>
      </c>
      <c r="AB28" s="47">
        <f>AB8*INDEX(Assumptions!$B$66:$F$66,1,AB$5)/1000000000</f>
        <v>0.10625</v>
      </c>
      <c r="AC28" s="47">
        <f>AC8*INDEX(Assumptions!$B$66:$F$66,1,AC$5)/1000000000</f>
        <v>0.11</v>
      </c>
      <c r="AD28" s="47">
        <f>AD8*INDEX(Assumptions!$B$66:$F$66,1,AD$5)/1000000000</f>
        <v>0.11375</v>
      </c>
      <c r="AE28" s="47">
        <f>AE8*INDEX(Assumptions!$B$66:$F$66,1,AE$5)/1000000000</f>
        <v>0.11749999999999999</v>
      </c>
      <c r="AF28" s="47">
        <f>AF8*INDEX(Assumptions!$B$66:$F$66,1,AF$5)/1000000000</f>
        <v>0.12125</v>
      </c>
      <c r="AG28" s="47">
        <f>AG8*INDEX(Assumptions!$B$66:$F$66,1,AG$5)/1000000000</f>
        <v>0.125</v>
      </c>
      <c r="AH28" s="47">
        <f>AH8*INDEX(Assumptions!$B$66:$F$66,1,AH$5)/1000000000</f>
        <v>0.12875</v>
      </c>
      <c r="AI28" s="47">
        <f>AI8*INDEX(Assumptions!$B$66:$F$66,1,AI$5)/1000000000</f>
        <v>0.13250000000000001</v>
      </c>
      <c r="AJ28" s="47">
        <f>AJ8*INDEX(Assumptions!$B$66:$F$66,1,AJ$5)/1000000000</f>
        <v>0.13625000000000001</v>
      </c>
      <c r="AK28" s="47">
        <f>AK8*INDEX(Assumptions!$B$66:$F$66,1,AK$5)/1000000000</f>
        <v>0.14000000000000001</v>
      </c>
      <c r="AL28" s="47">
        <f>AL8*INDEX(Assumptions!$B$66:$F$66,1,AL$5)/1000000000</f>
        <v>0.15225</v>
      </c>
      <c r="AM28" s="47">
        <f>AM8*INDEX(Assumptions!$B$66:$F$66,1,AM$5)/1000000000</f>
        <v>0.1575</v>
      </c>
      <c r="AN28" s="47">
        <f>AN8*INDEX(Assumptions!$B$66:$F$66,1,AN$5)/1000000000</f>
        <v>0.16275000000000001</v>
      </c>
      <c r="AO28" s="47">
        <f>AO8*INDEX(Assumptions!$B$66:$F$66,1,AO$5)/1000000000</f>
        <v>0.16800000000000001</v>
      </c>
      <c r="AP28" s="47">
        <f>AP8*INDEX(Assumptions!$B$66:$F$66,1,AP$5)/1000000000</f>
        <v>0.17324999999999999</v>
      </c>
      <c r="AQ28" s="47">
        <f>AQ8*INDEX(Assumptions!$B$66:$F$66,1,AQ$5)/1000000000</f>
        <v>0.17849999999999999</v>
      </c>
      <c r="AR28" s="47">
        <f>AR8*INDEX(Assumptions!$B$66:$F$66,1,AR$5)/1000000000</f>
        <v>0.18375</v>
      </c>
      <c r="AS28" s="47">
        <f>AS8*INDEX(Assumptions!$B$66:$F$66,1,AS$5)/1000000000</f>
        <v>0.189</v>
      </c>
      <c r="AT28" s="47">
        <f>AT8*INDEX(Assumptions!$B$66:$F$66,1,AT$5)/1000000000</f>
        <v>0.19425000000000001</v>
      </c>
      <c r="AU28" s="47">
        <f>AU8*INDEX(Assumptions!$B$66:$F$66,1,AU$5)/1000000000</f>
        <v>0.19950000000000001</v>
      </c>
      <c r="AV28" s="47">
        <f>AV8*INDEX(Assumptions!$B$66:$F$66,1,AV$5)/1000000000</f>
        <v>0.20474999999999999</v>
      </c>
      <c r="AW28" s="47">
        <f>AW8*INDEX(Assumptions!$B$66:$F$66,1,AW$5)/1000000000</f>
        <v>0.21</v>
      </c>
      <c r="AX28" s="47">
        <f>AX8*INDEX(Assumptions!$B$66:$F$66,1,AX$5)/1000000000</f>
        <v>0.22550000000000001</v>
      </c>
      <c r="AY28" s="47">
        <f>AY8*INDEX(Assumptions!$B$66:$F$66,1,AY$5)/1000000000</f>
        <v>0.23100000000000001</v>
      </c>
      <c r="AZ28" s="47">
        <f>AZ8*INDEX(Assumptions!$B$66:$F$66,1,AZ$5)/1000000000</f>
        <v>0.23649999999999999</v>
      </c>
      <c r="BA28" s="47">
        <f>BA8*INDEX(Assumptions!$B$66:$F$66,1,BA$5)/1000000000</f>
        <v>0.24199999999999999</v>
      </c>
      <c r="BB28" s="47">
        <f>BB8*INDEX(Assumptions!$B$66:$F$66,1,BB$5)/1000000000</f>
        <v>0.2475</v>
      </c>
      <c r="BC28" s="47">
        <f>BC8*INDEX(Assumptions!$B$66:$F$66,1,BC$5)/1000000000</f>
        <v>0.253</v>
      </c>
      <c r="BD28" s="47">
        <f>BD8*INDEX(Assumptions!$B$66:$F$66,1,BD$5)/1000000000</f>
        <v>0.25850000000000001</v>
      </c>
      <c r="BE28" s="47">
        <f>BE8*INDEX(Assumptions!$B$66:$F$66,1,BE$5)/1000000000</f>
        <v>0.26400000000000001</v>
      </c>
      <c r="BF28" s="47">
        <f>BF8*INDEX(Assumptions!$B$66:$F$66,1,BF$5)/1000000000</f>
        <v>0.26950000000000002</v>
      </c>
      <c r="BG28" s="47">
        <f>BG8*INDEX(Assumptions!$B$66:$F$66,1,BG$5)/1000000000</f>
        <v>0.27500000000000002</v>
      </c>
      <c r="BH28" s="47">
        <f>BH8*INDEX(Assumptions!$B$66:$F$66,1,BH$5)/1000000000</f>
        <v>0.28050000000000003</v>
      </c>
      <c r="BI28" s="48">
        <f>BI8*INDEX(Assumptions!$B$66:$F$66,1,BI$5)/1000000000</f>
        <v>0.28599999999999998</v>
      </c>
    </row>
    <row r="29" spans="1:61" ht="15">
      <c r="A29" s="36" t="s">
        <v>299</v>
      </c>
      <c r="B29" s="47">
        <f>B9*INDEX(Assumptions!$B$67:$F$67,1,B$5)/1000000000</f>
        <v>7.4999999999999997E-2</v>
      </c>
      <c r="C29" s="47">
        <f>C9*INDEX(Assumptions!$B$67:$F$67,1,C$5)/1000000000</f>
        <v>7.4999999999999997E-2</v>
      </c>
      <c r="D29" s="47">
        <f>D9*INDEX(Assumptions!$B$67:$F$67,1,D$5)/1000000000</f>
        <v>7.4999999999999997E-2</v>
      </c>
      <c r="E29" s="47">
        <f>E9*INDEX(Assumptions!$B$67:$F$67,1,E$5)/1000000000</f>
        <v>7.4999999999999997E-2</v>
      </c>
      <c r="F29" s="47">
        <f>F9*INDEX(Assumptions!$B$67:$F$67,1,F$5)/1000000000</f>
        <v>7.4999999999999997E-2</v>
      </c>
      <c r="G29" s="47">
        <f>G9*INDEX(Assumptions!$B$67:$F$67,1,G$5)/1000000000</f>
        <v>7.4999999999999997E-2</v>
      </c>
      <c r="H29" s="47">
        <f>H9*INDEX(Assumptions!$B$67:$F$67,1,H$5)/1000000000</f>
        <v>7.4999999999999997E-2</v>
      </c>
      <c r="I29" s="47">
        <f>I9*INDEX(Assumptions!$B$67:$F$67,1,I$5)/1000000000</f>
        <v>7.4999999999999997E-2</v>
      </c>
      <c r="J29" s="47">
        <f>J9*INDEX(Assumptions!$B$67:$F$67,1,J$5)/1000000000</f>
        <v>7.4999999999999997E-2</v>
      </c>
      <c r="K29" s="47">
        <f>K9*INDEX(Assumptions!$B$67:$F$67,1,K$5)/1000000000</f>
        <v>7.4999999999999997E-2</v>
      </c>
      <c r="L29" s="47">
        <f>L9*INDEX(Assumptions!$B$67:$F$67,1,L$5)/1000000000</f>
        <v>7.4999999999999997E-2</v>
      </c>
      <c r="M29" s="47">
        <f>M9*INDEX(Assumptions!$B$67:$F$67,1,M$5)/1000000000</f>
        <v>7.4999999999999997E-2</v>
      </c>
      <c r="N29" s="47">
        <f>N9*INDEX(Assumptions!$B$67:$F$67,1,N$5)/1000000000</f>
        <v>4.0833333333333298E-2</v>
      </c>
      <c r="O29" s="47">
        <f>O9*INDEX(Assumptions!$B$67:$F$67,1,O$5)/1000000000</f>
        <v>4.0833333333333298E-2</v>
      </c>
      <c r="P29" s="47">
        <f>P9*INDEX(Assumptions!$B$67:$F$67,1,P$5)/1000000000</f>
        <v>4.0833333333333402E-2</v>
      </c>
      <c r="Q29" s="47">
        <f>Q9*INDEX(Assumptions!$B$67:$F$67,1,Q$5)/1000000000</f>
        <v>4.0833333333333402E-2</v>
      </c>
      <c r="R29" s="47">
        <f>R9*INDEX(Assumptions!$B$67:$F$67,1,R$5)/1000000000</f>
        <v>4.0833333333333194E-2</v>
      </c>
      <c r="S29" s="47">
        <f>S9*INDEX(Assumptions!$B$67:$F$67,1,S$5)/1000000000</f>
        <v>4.0833333333333402E-2</v>
      </c>
      <c r="T29" s="47">
        <f>T9*INDEX(Assumptions!$B$67:$F$67,1,T$5)/1000000000</f>
        <v>4.0833333333333402E-2</v>
      </c>
      <c r="U29" s="47">
        <f>U9*INDEX(Assumptions!$B$67:$F$67,1,U$5)/1000000000</f>
        <v>4.0833333333333194E-2</v>
      </c>
      <c r="V29" s="47">
        <f>V9*INDEX(Assumptions!$B$67:$F$67,1,V$5)/1000000000</f>
        <v>4.0833333333333402E-2</v>
      </c>
      <c r="W29" s="47">
        <f>W9*INDEX(Assumptions!$B$67:$F$67,1,W$5)/1000000000</f>
        <v>4.0833333333333402E-2</v>
      </c>
      <c r="X29" s="47">
        <f>X9*INDEX(Assumptions!$B$67:$F$67,1,X$5)/1000000000</f>
        <v>4.0833333333333194E-2</v>
      </c>
      <c r="Y29" s="47">
        <f>Y9*INDEX(Assumptions!$B$67:$F$67,1,Y$5)/1000000000</f>
        <v>4.0833333333333402E-2</v>
      </c>
      <c r="Z29" s="47">
        <f>Z9*INDEX(Assumptions!$B$67:$F$67,1,Z$5)/1000000000</f>
        <v>4.8750000000000002E-2</v>
      </c>
      <c r="AA29" s="47">
        <f>AA9*INDEX(Assumptions!$B$67:$F$67,1,AA$5)/1000000000</f>
        <v>4.8750000000000002E-2</v>
      </c>
      <c r="AB29" s="47">
        <f>AB9*INDEX(Assumptions!$B$67:$F$67,1,AB$5)/1000000000</f>
        <v>4.8750000000000002E-2</v>
      </c>
      <c r="AC29" s="47">
        <f>AC9*INDEX(Assumptions!$B$67:$F$67,1,AC$5)/1000000000</f>
        <v>4.8750000000000002E-2</v>
      </c>
      <c r="AD29" s="47">
        <f>AD9*INDEX(Assumptions!$B$67:$F$67,1,AD$5)/1000000000</f>
        <v>4.8750000000000002E-2</v>
      </c>
      <c r="AE29" s="47">
        <f>AE9*INDEX(Assumptions!$B$67:$F$67,1,AE$5)/1000000000</f>
        <v>4.8750000000000002E-2</v>
      </c>
      <c r="AF29" s="47">
        <f>AF9*INDEX(Assumptions!$B$67:$F$67,1,AF$5)/1000000000</f>
        <v>4.8750000000000002E-2</v>
      </c>
      <c r="AG29" s="47">
        <f>AG9*INDEX(Assumptions!$B$67:$F$67,1,AG$5)/1000000000</f>
        <v>4.8750000000000002E-2</v>
      </c>
      <c r="AH29" s="47">
        <f>AH9*INDEX(Assumptions!$B$67:$F$67,1,AH$5)/1000000000</f>
        <v>4.8750000000000002E-2</v>
      </c>
      <c r="AI29" s="47">
        <f>AI9*INDEX(Assumptions!$B$67:$F$67,1,AI$5)/1000000000</f>
        <v>4.8750000000000002E-2</v>
      </c>
      <c r="AJ29" s="47">
        <f>AJ9*INDEX(Assumptions!$B$67:$F$67,1,AJ$5)/1000000000</f>
        <v>4.8750000000000002E-2</v>
      </c>
      <c r="AK29" s="47">
        <f>AK9*INDEX(Assumptions!$B$67:$F$67,1,AK$5)/1000000000</f>
        <v>4.8750000000000002E-2</v>
      </c>
      <c r="AL29" s="47">
        <f>AL9*INDEX(Assumptions!$B$67:$F$67,1,AL$5)/1000000000</f>
        <v>0.06</v>
      </c>
      <c r="AM29" s="47">
        <f>AM9*INDEX(Assumptions!$B$67:$F$67,1,AM$5)/1000000000</f>
        <v>0.06</v>
      </c>
      <c r="AN29" s="47">
        <f>AN9*INDEX(Assumptions!$B$67:$F$67,1,AN$5)/1000000000</f>
        <v>0.06</v>
      </c>
      <c r="AO29" s="47">
        <f>AO9*INDEX(Assumptions!$B$67:$F$67,1,AO$5)/1000000000</f>
        <v>0.06</v>
      </c>
      <c r="AP29" s="47">
        <f>AP9*INDEX(Assumptions!$B$67:$F$67,1,AP$5)/1000000000</f>
        <v>0.06</v>
      </c>
      <c r="AQ29" s="47">
        <f>AQ9*INDEX(Assumptions!$B$67:$F$67,1,AQ$5)/1000000000</f>
        <v>0.06</v>
      </c>
      <c r="AR29" s="47">
        <f>AR9*INDEX(Assumptions!$B$67:$F$67,1,AR$5)/1000000000</f>
        <v>0.06</v>
      </c>
      <c r="AS29" s="47">
        <f>AS9*INDEX(Assumptions!$B$67:$F$67,1,AS$5)/1000000000</f>
        <v>0.06</v>
      </c>
      <c r="AT29" s="47">
        <f>AT9*INDEX(Assumptions!$B$67:$F$67,1,AT$5)/1000000000</f>
        <v>0.06</v>
      </c>
      <c r="AU29" s="47">
        <f>AU9*INDEX(Assumptions!$B$67:$F$67,1,AU$5)/1000000000</f>
        <v>0.06</v>
      </c>
      <c r="AV29" s="47">
        <f>AV9*INDEX(Assumptions!$B$67:$F$67,1,AV$5)/1000000000</f>
        <v>0.06</v>
      </c>
      <c r="AW29" s="47">
        <f>AW9*INDEX(Assumptions!$B$67:$F$67,1,AW$5)/1000000000</f>
        <v>0.06</v>
      </c>
      <c r="AX29" s="47">
        <f>AX9*INDEX(Assumptions!$B$67:$F$67,1,AX$5)/1000000000</f>
        <v>5.5E-2</v>
      </c>
      <c r="AY29" s="47">
        <f>AY9*INDEX(Assumptions!$B$67:$F$67,1,AY$5)/1000000000</f>
        <v>5.5E-2</v>
      </c>
      <c r="AZ29" s="47">
        <f>AZ9*INDEX(Assumptions!$B$67:$F$67,1,AZ$5)/1000000000</f>
        <v>5.5E-2</v>
      </c>
      <c r="BA29" s="47">
        <f>BA9*INDEX(Assumptions!$B$67:$F$67,1,BA$5)/1000000000</f>
        <v>5.5E-2</v>
      </c>
      <c r="BB29" s="47">
        <f>BB9*INDEX(Assumptions!$B$67:$F$67,1,BB$5)/1000000000</f>
        <v>5.5E-2</v>
      </c>
      <c r="BC29" s="47">
        <f>BC9*INDEX(Assumptions!$B$67:$F$67,1,BC$5)/1000000000</f>
        <v>5.5E-2</v>
      </c>
      <c r="BD29" s="47">
        <f>BD9*INDEX(Assumptions!$B$67:$F$67,1,BD$5)/1000000000</f>
        <v>5.5E-2</v>
      </c>
      <c r="BE29" s="47">
        <f>BE9*INDEX(Assumptions!$B$67:$F$67,1,BE$5)/1000000000</f>
        <v>5.5E-2</v>
      </c>
      <c r="BF29" s="47">
        <f>BF9*INDEX(Assumptions!$B$67:$F$67,1,BF$5)/1000000000</f>
        <v>5.5E-2</v>
      </c>
      <c r="BG29" s="47">
        <f>BG9*INDEX(Assumptions!$B$67:$F$67,1,BG$5)/1000000000</f>
        <v>5.5E-2</v>
      </c>
      <c r="BH29" s="47">
        <f>BH9*INDEX(Assumptions!$B$67:$F$67,1,BH$5)/1000000000</f>
        <v>5.5E-2</v>
      </c>
      <c r="BI29" s="48">
        <f>BI9*INDEX(Assumptions!$B$67:$F$67,1,BI$5)/1000000000</f>
        <v>5.5E-2</v>
      </c>
    </row>
    <row r="30" spans="1:61" ht="15">
      <c r="A30" s="36" t="s">
        <v>300</v>
      </c>
      <c r="B30" s="37">
        <f>ROUNDUP(B8*Assumptions!$B$16,0)</f>
        <v>5</v>
      </c>
      <c r="C30" s="37">
        <f>ROUNDUP(C8*Assumptions!$B$16,0)</f>
        <v>10</v>
      </c>
      <c r="D30" s="37">
        <f>ROUNDUP(D8*Assumptions!$B$16,0)</f>
        <v>15</v>
      </c>
      <c r="E30" s="37">
        <f>ROUNDUP(E8*Assumptions!$B$16,0)</f>
        <v>20</v>
      </c>
      <c r="F30" s="37">
        <f>ROUNDUP(F8*Assumptions!$B$16,0)</f>
        <v>25</v>
      </c>
      <c r="G30" s="37">
        <f>ROUNDUP(G8*Assumptions!$B$16,0)</f>
        <v>30</v>
      </c>
      <c r="H30" s="37">
        <f>ROUNDUP(H8*Assumptions!$B$16,0)</f>
        <v>35</v>
      </c>
      <c r="I30" s="37">
        <f>ROUNDUP(I8*Assumptions!$B$16,0)</f>
        <v>40</v>
      </c>
      <c r="J30" s="37">
        <f>ROUNDUP(J8*Assumptions!$B$16,0)</f>
        <v>45</v>
      </c>
      <c r="K30" s="37">
        <f>ROUNDUP(K8*Assumptions!$B$16,0)</f>
        <v>50</v>
      </c>
      <c r="L30" s="37">
        <f>ROUNDUP(L8*Assumptions!$B$16,0)</f>
        <v>55</v>
      </c>
      <c r="M30" s="37">
        <f>ROUNDUP(M8*Assumptions!$B$16,0)</f>
        <v>60</v>
      </c>
      <c r="N30" s="37">
        <f>ROUNDUP(N8*Assumptions!$B$16,0)</f>
        <v>63</v>
      </c>
      <c r="O30" s="37">
        <f>ROUNDUP(O8*Assumptions!$B$16,0)</f>
        <v>66</v>
      </c>
      <c r="P30" s="37">
        <f>ROUNDUP(P8*Assumptions!$B$16,0)</f>
        <v>69</v>
      </c>
      <c r="Q30" s="37">
        <f>ROUNDUP(Q8*Assumptions!$B$16,0)</f>
        <v>72</v>
      </c>
      <c r="R30" s="37">
        <f>ROUNDUP(R8*Assumptions!$B$16,0)</f>
        <v>75</v>
      </c>
      <c r="S30" s="37">
        <f>ROUNDUP(S8*Assumptions!$B$16,0)</f>
        <v>78</v>
      </c>
      <c r="T30" s="37">
        <f>ROUNDUP(T8*Assumptions!$B$16,0)</f>
        <v>81</v>
      </c>
      <c r="U30" s="37">
        <f>ROUNDUP(U8*Assumptions!$B$16,0)</f>
        <v>84</v>
      </c>
      <c r="V30" s="37">
        <f>ROUNDUP(V8*Assumptions!$B$16,0)</f>
        <v>87</v>
      </c>
      <c r="W30" s="37">
        <f>ROUNDUP(W8*Assumptions!$B$16,0)</f>
        <v>90</v>
      </c>
      <c r="X30" s="37">
        <f>ROUNDUP(X8*Assumptions!$B$16,0)</f>
        <v>93</v>
      </c>
      <c r="Y30" s="37">
        <f>ROUNDUP(Y8*Assumptions!$B$16,0)</f>
        <v>95</v>
      </c>
      <c r="Z30" s="37">
        <f>ROUNDUP(Z8*Assumptions!$B$16,0)</f>
        <v>99</v>
      </c>
      <c r="AA30" s="37">
        <f>ROUNDUP(AA8*Assumptions!$B$16,0)</f>
        <v>103</v>
      </c>
      <c r="AB30" s="37">
        <f>ROUNDUP(AB8*Assumptions!$B$16,0)</f>
        <v>107</v>
      </c>
      <c r="AC30" s="37">
        <f>ROUNDUP(AC8*Assumptions!$B$16,0)</f>
        <v>110</v>
      </c>
      <c r="AD30" s="37">
        <f>ROUNDUP(AD8*Assumptions!$B$16,0)</f>
        <v>114</v>
      </c>
      <c r="AE30" s="37">
        <f>ROUNDUP(AE8*Assumptions!$B$16,0)</f>
        <v>118</v>
      </c>
      <c r="AF30" s="37">
        <f>ROUNDUP(AF8*Assumptions!$B$16,0)</f>
        <v>122</v>
      </c>
      <c r="AG30" s="37">
        <f>ROUNDUP(AG8*Assumptions!$B$16,0)</f>
        <v>125</v>
      </c>
      <c r="AH30" s="37">
        <f>ROUNDUP(AH8*Assumptions!$B$16,0)</f>
        <v>129</v>
      </c>
      <c r="AI30" s="37">
        <f>ROUNDUP(AI8*Assumptions!$B$16,0)</f>
        <v>133</v>
      </c>
      <c r="AJ30" s="37">
        <f>ROUNDUP(AJ8*Assumptions!$B$16,0)</f>
        <v>137</v>
      </c>
      <c r="AK30" s="37">
        <f>ROUNDUP(AK8*Assumptions!$B$16,0)</f>
        <v>140</v>
      </c>
      <c r="AL30" s="37">
        <f>ROUNDUP(AL8*Assumptions!$B$16,0)</f>
        <v>145</v>
      </c>
      <c r="AM30" s="37">
        <f>ROUNDUP(AM8*Assumptions!$B$16,0)</f>
        <v>150</v>
      </c>
      <c r="AN30" s="37">
        <f>ROUNDUP(AN8*Assumptions!$B$16,0)</f>
        <v>155</v>
      </c>
      <c r="AO30" s="37">
        <f>ROUNDUP(AO8*Assumptions!$B$16,0)</f>
        <v>160</v>
      </c>
      <c r="AP30" s="37">
        <f>ROUNDUP(AP8*Assumptions!$B$16,0)</f>
        <v>165</v>
      </c>
      <c r="AQ30" s="37">
        <f>ROUNDUP(AQ8*Assumptions!$B$16,0)</f>
        <v>170</v>
      </c>
      <c r="AR30" s="37">
        <f>ROUNDUP(AR8*Assumptions!$B$16,0)</f>
        <v>175</v>
      </c>
      <c r="AS30" s="37">
        <f>ROUNDUP(AS8*Assumptions!$B$16,0)</f>
        <v>180</v>
      </c>
      <c r="AT30" s="37">
        <f>ROUNDUP(AT8*Assumptions!$B$16,0)</f>
        <v>185</v>
      </c>
      <c r="AU30" s="37">
        <f>ROUNDUP(AU8*Assumptions!$B$16,0)</f>
        <v>190</v>
      </c>
      <c r="AV30" s="37">
        <f>ROUNDUP(AV8*Assumptions!$B$16,0)</f>
        <v>195</v>
      </c>
      <c r="AW30" s="37">
        <f>ROUNDUP(AW8*Assumptions!$B$16,0)</f>
        <v>200</v>
      </c>
      <c r="AX30" s="37">
        <f>ROUNDUP(AX8*Assumptions!$B$16,0)</f>
        <v>205</v>
      </c>
      <c r="AY30" s="37">
        <f>ROUNDUP(AY8*Assumptions!$B$16,0)</f>
        <v>210</v>
      </c>
      <c r="AZ30" s="37">
        <f>ROUNDUP(AZ8*Assumptions!$B$16,0)</f>
        <v>215</v>
      </c>
      <c r="BA30" s="37">
        <f>ROUNDUP(BA8*Assumptions!$B$16,0)</f>
        <v>220</v>
      </c>
      <c r="BB30" s="37">
        <f>ROUNDUP(BB8*Assumptions!$B$16,0)</f>
        <v>225</v>
      </c>
      <c r="BC30" s="37">
        <f>ROUNDUP(BC8*Assumptions!$B$16,0)</f>
        <v>230</v>
      </c>
      <c r="BD30" s="37">
        <f>ROUNDUP(BD8*Assumptions!$B$16,0)</f>
        <v>235</v>
      </c>
      <c r="BE30" s="37">
        <f>ROUNDUP(BE8*Assumptions!$B$16,0)</f>
        <v>240</v>
      </c>
      <c r="BF30" s="37">
        <f>ROUNDUP(BF8*Assumptions!$B$16,0)</f>
        <v>245</v>
      </c>
      <c r="BG30" s="37">
        <f>ROUNDUP(BG8*Assumptions!$B$16,0)</f>
        <v>250</v>
      </c>
      <c r="BH30" s="37">
        <f>ROUNDUP(BH8*Assumptions!$B$16,0)</f>
        <v>255</v>
      </c>
      <c r="BI30" s="38">
        <f>ROUNDUP(BI8*Assumptions!$B$16,0)</f>
        <v>260</v>
      </c>
    </row>
    <row r="31" spans="1:61" ht="15">
      <c r="A31" s="36" t="s">
        <v>301</v>
      </c>
      <c r="B31" s="47">
        <f>INDEX(Assumptions!$B$68:$F$68,1,B$5)/12</f>
        <v>2.625</v>
      </c>
      <c r="C31" s="47">
        <f>INDEX(Assumptions!$B$68:$F$68,1,C$5)/12</f>
        <v>2.625</v>
      </c>
      <c r="D31" s="47">
        <f>INDEX(Assumptions!$B$68:$F$68,1,D$5)/12</f>
        <v>2.625</v>
      </c>
      <c r="E31" s="47">
        <f>INDEX(Assumptions!$B$68:$F$68,1,E$5)/12</f>
        <v>2.625</v>
      </c>
      <c r="F31" s="47">
        <f>INDEX(Assumptions!$B$68:$F$68,1,F$5)/12</f>
        <v>2.625</v>
      </c>
      <c r="G31" s="47">
        <f>INDEX(Assumptions!$B$68:$F$68,1,G$5)/12</f>
        <v>2.625</v>
      </c>
      <c r="H31" s="47">
        <f>INDEX(Assumptions!$B$68:$F$68,1,H$5)/12</f>
        <v>2.625</v>
      </c>
      <c r="I31" s="47">
        <f>INDEX(Assumptions!$B$68:$F$68,1,I$5)/12</f>
        <v>2.625</v>
      </c>
      <c r="J31" s="47">
        <f>INDEX(Assumptions!$B$68:$F$68,1,J$5)/12</f>
        <v>2.625</v>
      </c>
      <c r="K31" s="47">
        <f>INDEX(Assumptions!$B$68:$F$68,1,K$5)/12</f>
        <v>2.625</v>
      </c>
      <c r="L31" s="47">
        <f>INDEX(Assumptions!$B$68:$F$68,1,L$5)/12</f>
        <v>2.625</v>
      </c>
      <c r="M31" s="47">
        <f>INDEX(Assumptions!$B$68:$F$68,1,M$5)/12</f>
        <v>2.625</v>
      </c>
      <c r="N31" s="47">
        <f>INDEX(Assumptions!$B$68:$F$68,1,N$5)/12</f>
        <v>1.1583333333333334</v>
      </c>
      <c r="O31" s="47">
        <f>INDEX(Assumptions!$B$68:$F$68,1,O$5)/12</f>
        <v>1.1583333333333334</v>
      </c>
      <c r="P31" s="47">
        <f>INDEX(Assumptions!$B$68:$F$68,1,P$5)/12</f>
        <v>1.1583333333333334</v>
      </c>
      <c r="Q31" s="47">
        <f>INDEX(Assumptions!$B$68:$F$68,1,Q$5)/12</f>
        <v>1.1583333333333334</v>
      </c>
      <c r="R31" s="47">
        <f>INDEX(Assumptions!$B$68:$F$68,1,R$5)/12</f>
        <v>1.1583333333333334</v>
      </c>
      <c r="S31" s="47">
        <f>INDEX(Assumptions!$B$68:$F$68,1,S$5)/12</f>
        <v>1.1583333333333334</v>
      </c>
      <c r="T31" s="47">
        <f>INDEX(Assumptions!$B$68:$F$68,1,T$5)/12</f>
        <v>1.1583333333333334</v>
      </c>
      <c r="U31" s="47">
        <f>INDEX(Assumptions!$B$68:$F$68,1,U$5)/12</f>
        <v>1.1583333333333334</v>
      </c>
      <c r="V31" s="47">
        <f>INDEX(Assumptions!$B$68:$F$68,1,V$5)/12</f>
        <v>1.1583333333333334</v>
      </c>
      <c r="W31" s="47">
        <f>INDEX(Assumptions!$B$68:$F$68,1,W$5)/12</f>
        <v>1.1583333333333334</v>
      </c>
      <c r="X31" s="47">
        <f>INDEX(Assumptions!$B$68:$F$68,1,X$5)/12</f>
        <v>1.1583333333333334</v>
      </c>
      <c r="Y31" s="47">
        <f>INDEX(Assumptions!$B$68:$F$68,1,Y$5)/12</f>
        <v>1.1583333333333334</v>
      </c>
      <c r="Z31" s="47">
        <f>INDEX(Assumptions!$B$68:$F$68,1,Z$5)/12</f>
        <v>0.70833333333333337</v>
      </c>
      <c r="AA31" s="47">
        <f>INDEX(Assumptions!$B$68:$F$68,1,AA$5)/12</f>
        <v>0.70833333333333337</v>
      </c>
      <c r="AB31" s="47">
        <f>INDEX(Assumptions!$B$68:$F$68,1,AB$5)/12</f>
        <v>0.70833333333333337</v>
      </c>
      <c r="AC31" s="47">
        <f>INDEX(Assumptions!$B$68:$F$68,1,AC$5)/12</f>
        <v>0.70833333333333337</v>
      </c>
      <c r="AD31" s="47">
        <f>INDEX(Assumptions!$B$68:$F$68,1,AD$5)/12</f>
        <v>0.70833333333333337</v>
      </c>
      <c r="AE31" s="47">
        <f>INDEX(Assumptions!$B$68:$F$68,1,AE$5)/12</f>
        <v>0.70833333333333337</v>
      </c>
      <c r="AF31" s="47">
        <f>INDEX(Assumptions!$B$68:$F$68,1,AF$5)/12</f>
        <v>0.70833333333333337</v>
      </c>
      <c r="AG31" s="47">
        <f>INDEX(Assumptions!$B$68:$F$68,1,AG$5)/12</f>
        <v>0.70833333333333337</v>
      </c>
      <c r="AH31" s="47">
        <f>INDEX(Assumptions!$B$68:$F$68,1,AH$5)/12</f>
        <v>0.70833333333333337</v>
      </c>
      <c r="AI31" s="47">
        <f>INDEX(Assumptions!$B$68:$F$68,1,AI$5)/12</f>
        <v>0.70833333333333337</v>
      </c>
      <c r="AJ31" s="47">
        <f>INDEX(Assumptions!$B$68:$F$68,1,AJ$5)/12</f>
        <v>0.70833333333333337</v>
      </c>
      <c r="AK31" s="47">
        <f>INDEX(Assumptions!$B$68:$F$68,1,AK$5)/12</f>
        <v>0.70833333333333337</v>
      </c>
      <c r="AL31" s="47">
        <f>INDEX(Assumptions!$B$68:$F$68,1,AL$5)/12</f>
        <v>0.6</v>
      </c>
      <c r="AM31" s="47">
        <f>INDEX(Assumptions!$B$68:$F$68,1,AM$5)/12</f>
        <v>0.6</v>
      </c>
      <c r="AN31" s="47">
        <f>INDEX(Assumptions!$B$68:$F$68,1,AN$5)/12</f>
        <v>0.6</v>
      </c>
      <c r="AO31" s="47">
        <f>INDEX(Assumptions!$B$68:$F$68,1,AO$5)/12</f>
        <v>0.6</v>
      </c>
      <c r="AP31" s="47">
        <f>INDEX(Assumptions!$B$68:$F$68,1,AP$5)/12</f>
        <v>0.6</v>
      </c>
      <c r="AQ31" s="47">
        <f>INDEX(Assumptions!$B$68:$F$68,1,AQ$5)/12</f>
        <v>0.6</v>
      </c>
      <c r="AR31" s="47">
        <f>INDEX(Assumptions!$B$68:$F$68,1,AR$5)/12</f>
        <v>0.6</v>
      </c>
      <c r="AS31" s="47">
        <f>INDEX(Assumptions!$B$68:$F$68,1,AS$5)/12</f>
        <v>0.6</v>
      </c>
      <c r="AT31" s="47">
        <f>INDEX(Assumptions!$B$68:$F$68,1,AT$5)/12</f>
        <v>0.6</v>
      </c>
      <c r="AU31" s="47">
        <f>INDEX(Assumptions!$B$68:$F$68,1,AU$5)/12</f>
        <v>0.6</v>
      </c>
      <c r="AV31" s="47">
        <f>INDEX(Assumptions!$B$68:$F$68,1,AV$5)/12</f>
        <v>0.6</v>
      </c>
      <c r="AW31" s="47">
        <f>INDEX(Assumptions!$B$68:$F$68,1,AW$5)/12</f>
        <v>0.6</v>
      </c>
      <c r="AX31" s="47">
        <f>INDEX(Assumptions!$B$68:$F$68,1,AX$5)/12</f>
        <v>0.6</v>
      </c>
      <c r="AY31" s="47">
        <f>INDEX(Assumptions!$B$68:$F$68,1,AY$5)/12</f>
        <v>0.6</v>
      </c>
      <c r="AZ31" s="47">
        <f>INDEX(Assumptions!$B$68:$F$68,1,AZ$5)/12</f>
        <v>0.6</v>
      </c>
      <c r="BA31" s="47">
        <f>INDEX(Assumptions!$B$68:$F$68,1,BA$5)/12</f>
        <v>0.6</v>
      </c>
      <c r="BB31" s="47">
        <f>INDEX(Assumptions!$B$68:$F$68,1,BB$5)/12</f>
        <v>0.6</v>
      </c>
      <c r="BC31" s="47">
        <f>INDEX(Assumptions!$B$68:$F$68,1,BC$5)/12</f>
        <v>0.6</v>
      </c>
      <c r="BD31" s="47">
        <f>INDEX(Assumptions!$B$68:$F$68,1,BD$5)/12</f>
        <v>0.6</v>
      </c>
      <c r="BE31" s="47">
        <f>INDEX(Assumptions!$B$68:$F$68,1,BE$5)/12</f>
        <v>0.6</v>
      </c>
      <c r="BF31" s="47">
        <f>INDEX(Assumptions!$B$68:$F$68,1,BF$5)/12</f>
        <v>0.6</v>
      </c>
      <c r="BG31" s="47">
        <f>INDEX(Assumptions!$B$68:$F$68,1,BG$5)/12</f>
        <v>0.6</v>
      </c>
      <c r="BH31" s="47">
        <f>INDEX(Assumptions!$B$68:$F$68,1,BH$5)/12</f>
        <v>0.6</v>
      </c>
      <c r="BI31" s="48">
        <f>INDEX(Assumptions!$B$68:$F$68,1,BI$5)/12</f>
        <v>0.6</v>
      </c>
    </row>
    <row r="32" spans="1:61" ht="15">
      <c r="A32" s="36" t="s">
        <v>302</v>
      </c>
      <c r="B32" s="47">
        <f>B30*Assumptions!$B$17/1000000000</f>
        <v>0.2</v>
      </c>
      <c r="C32" s="47">
        <f>MAX(0,C30-B30)*Assumptions!$B$17/1000000000</f>
        <v>0.2</v>
      </c>
      <c r="D32" s="47">
        <f>MAX(0,D30-C30)*Assumptions!$B$17/1000000000</f>
        <v>0.2</v>
      </c>
      <c r="E32" s="47">
        <f>MAX(0,E30-D30)*Assumptions!$B$17/1000000000</f>
        <v>0.2</v>
      </c>
      <c r="F32" s="47">
        <f>MAX(0,F30-E30)*Assumptions!$B$17/1000000000</f>
        <v>0.2</v>
      </c>
      <c r="G32" s="47">
        <f>MAX(0,G30-F30)*Assumptions!$B$17/1000000000</f>
        <v>0.2</v>
      </c>
      <c r="H32" s="47">
        <f>MAX(0,H30-G30)*Assumptions!$B$17/1000000000</f>
        <v>0.2</v>
      </c>
      <c r="I32" s="47">
        <f>MAX(0,I30-H30)*Assumptions!$B$17/1000000000</f>
        <v>0.2</v>
      </c>
      <c r="J32" s="47">
        <f>MAX(0,J30-I30)*Assumptions!$B$17/1000000000</f>
        <v>0.2</v>
      </c>
      <c r="K32" s="47">
        <f>MAX(0,K30-J30)*Assumptions!$B$17/1000000000</f>
        <v>0.2</v>
      </c>
      <c r="L32" s="47">
        <f>MAX(0,L30-K30)*Assumptions!$B$17/1000000000</f>
        <v>0.2</v>
      </c>
      <c r="M32" s="47">
        <f>MAX(0,M30-L30)*Assumptions!$B$17/1000000000</f>
        <v>0.2</v>
      </c>
      <c r="N32" s="47">
        <f>MAX(0,N30-M30)*Assumptions!$B$17/1000000000</f>
        <v>0.12</v>
      </c>
      <c r="O32" s="47">
        <f>MAX(0,O30-N30)*Assumptions!$B$17/1000000000</f>
        <v>0.12</v>
      </c>
      <c r="P32" s="47">
        <f>MAX(0,P30-O30)*Assumptions!$B$17/1000000000</f>
        <v>0.12</v>
      </c>
      <c r="Q32" s="47">
        <f>MAX(0,Q30-P30)*Assumptions!$B$17/1000000000</f>
        <v>0.12</v>
      </c>
      <c r="R32" s="47">
        <f>MAX(0,R30-Q30)*Assumptions!$B$17/1000000000</f>
        <v>0.12</v>
      </c>
      <c r="S32" s="47">
        <f>MAX(0,S30-R30)*Assumptions!$B$17/1000000000</f>
        <v>0.12</v>
      </c>
      <c r="T32" s="47">
        <f>MAX(0,T30-S30)*Assumptions!$B$17/1000000000</f>
        <v>0.12</v>
      </c>
      <c r="U32" s="47">
        <f>MAX(0,U30-T30)*Assumptions!$B$17/1000000000</f>
        <v>0.12</v>
      </c>
      <c r="V32" s="47">
        <f>MAX(0,V30-U30)*Assumptions!$B$17/1000000000</f>
        <v>0.12</v>
      </c>
      <c r="W32" s="47">
        <f>MAX(0,W30-V30)*Assumptions!$B$17/1000000000</f>
        <v>0.12</v>
      </c>
      <c r="X32" s="47">
        <f>MAX(0,X30-W30)*Assumptions!$B$17/1000000000</f>
        <v>0.12</v>
      </c>
      <c r="Y32" s="47">
        <f>MAX(0,Y30-X30)*Assumptions!$B$17/1000000000</f>
        <v>0.08</v>
      </c>
      <c r="Z32" s="47">
        <f>MAX(0,Z30-Y30)*Assumptions!$B$17/1000000000</f>
        <v>0.16</v>
      </c>
      <c r="AA32" s="47">
        <f>MAX(0,AA30-Z30)*Assumptions!$B$17/1000000000</f>
        <v>0.16</v>
      </c>
      <c r="AB32" s="47">
        <f>MAX(0,AB30-AA30)*Assumptions!$B$17/1000000000</f>
        <v>0.16</v>
      </c>
      <c r="AC32" s="47">
        <f>MAX(0,AC30-AB30)*Assumptions!$B$17/1000000000</f>
        <v>0.12</v>
      </c>
      <c r="AD32" s="47">
        <f>MAX(0,AD30-AC30)*Assumptions!$B$17/1000000000</f>
        <v>0.16</v>
      </c>
      <c r="AE32" s="47">
        <f>MAX(0,AE30-AD30)*Assumptions!$B$17/1000000000</f>
        <v>0.16</v>
      </c>
      <c r="AF32" s="47">
        <f>MAX(0,AF30-AE30)*Assumptions!$B$17/1000000000</f>
        <v>0.16</v>
      </c>
      <c r="AG32" s="47">
        <f>MAX(0,AG30-AF30)*Assumptions!$B$17/1000000000</f>
        <v>0.12</v>
      </c>
      <c r="AH32" s="47">
        <f>MAX(0,AH30-AG30)*Assumptions!$B$17/1000000000</f>
        <v>0.16</v>
      </c>
      <c r="AI32" s="47">
        <f>MAX(0,AI30-AH30)*Assumptions!$B$17/1000000000</f>
        <v>0.16</v>
      </c>
      <c r="AJ32" s="47">
        <f>MAX(0,AJ30-AI30)*Assumptions!$B$17/1000000000</f>
        <v>0.16</v>
      </c>
      <c r="AK32" s="47">
        <f>MAX(0,AK30-AJ30)*Assumptions!$B$17/1000000000</f>
        <v>0.12</v>
      </c>
      <c r="AL32" s="47">
        <f>MAX(0,AL30-AK30)*Assumptions!$B$17/1000000000</f>
        <v>0.2</v>
      </c>
      <c r="AM32" s="47">
        <f>MAX(0,AM30-AL30)*Assumptions!$B$17/1000000000</f>
        <v>0.2</v>
      </c>
      <c r="AN32" s="47">
        <f>MAX(0,AN30-AM30)*Assumptions!$B$17/1000000000</f>
        <v>0.2</v>
      </c>
      <c r="AO32" s="47">
        <f>MAX(0,AO30-AN30)*Assumptions!$B$17/1000000000</f>
        <v>0.2</v>
      </c>
      <c r="AP32" s="47">
        <f>MAX(0,AP30-AO30)*Assumptions!$B$17/1000000000</f>
        <v>0.2</v>
      </c>
      <c r="AQ32" s="47">
        <f>MAX(0,AQ30-AP30)*Assumptions!$B$17/1000000000</f>
        <v>0.2</v>
      </c>
      <c r="AR32" s="47">
        <f>MAX(0,AR30-AQ30)*Assumptions!$B$17/1000000000</f>
        <v>0.2</v>
      </c>
      <c r="AS32" s="47">
        <f>MAX(0,AS30-AR30)*Assumptions!$B$17/1000000000</f>
        <v>0.2</v>
      </c>
      <c r="AT32" s="47">
        <f>MAX(0,AT30-AS30)*Assumptions!$B$17/1000000000</f>
        <v>0.2</v>
      </c>
      <c r="AU32" s="47">
        <f>MAX(0,AU30-AT30)*Assumptions!$B$17/1000000000</f>
        <v>0.2</v>
      </c>
      <c r="AV32" s="47">
        <f>MAX(0,AV30-AU30)*Assumptions!$B$17/1000000000</f>
        <v>0.2</v>
      </c>
      <c r="AW32" s="47">
        <f>MAX(0,AW30-AV30)*Assumptions!$B$17/1000000000</f>
        <v>0.2</v>
      </c>
      <c r="AX32" s="47">
        <f>MAX(0,AX30-AW30)*Assumptions!$B$17/1000000000</f>
        <v>0.2</v>
      </c>
      <c r="AY32" s="47">
        <f>MAX(0,AY30-AX30)*Assumptions!$B$17/1000000000</f>
        <v>0.2</v>
      </c>
      <c r="AZ32" s="47">
        <f>MAX(0,AZ30-AY30)*Assumptions!$B$17/1000000000</f>
        <v>0.2</v>
      </c>
      <c r="BA32" s="47">
        <f>MAX(0,BA30-AZ30)*Assumptions!$B$17/1000000000</f>
        <v>0.2</v>
      </c>
      <c r="BB32" s="47">
        <f>MAX(0,BB30-BA30)*Assumptions!$B$17/1000000000</f>
        <v>0.2</v>
      </c>
      <c r="BC32" s="47">
        <f>MAX(0,BC30-BB30)*Assumptions!$B$17/1000000000</f>
        <v>0.2</v>
      </c>
      <c r="BD32" s="47">
        <f>MAX(0,BD30-BC30)*Assumptions!$B$17/1000000000</f>
        <v>0.2</v>
      </c>
      <c r="BE32" s="47">
        <f>MAX(0,BE30-BD30)*Assumptions!$B$17/1000000000</f>
        <v>0.2</v>
      </c>
      <c r="BF32" s="47">
        <f>MAX(0,BF30-BE30)*Assumptions!$B$17/1000000000</f>
        <v>0.2</v>
      </c>
      <c r="BG32" s="47">
        <f>MAX(0,BG30-BF30)*Assumptions!$B$17/1000000000</f>
        <v>0.2</v>
      </c>
      <c r="BH32" s="47">
        <f>MAX(0,BH30-BG30)*Assumptions!$B$17/1000000000</f>
        <v>0.2</v>
      </c>
      <c r="BI32" s="48">
        <f>MAX(0,BI30-BH30)*Assumptions!$B$17/1000000000</f>
        <v>0.2</v>
      </c>
    </row>
    <row r="33" spans="1:61" ht="15">
      <c r="A33" s="36" t="s">
        <v>303</v>
      </c>
      <c r="B33" s="47">
        <f t="shared" ref="B33:AG33" si="24">B31+B32</f>
        <v>2.8250000000000002</v>
      </c>
      <c r="C33" s="47">
        <f t="shared" si="24"/>
        <v>2.8250000000000002</v>
      </c>
      <c r="D33" s="47">
        <f t="shared" si="24"/>
        <v>2.8250000000000002</v>
      </c>
      <c r="E33" s="47">
        <f t="shared" si="24"/>
        <v>2.8250000000000002</v>
      </c>
      <c r="F33" s="47">
        <f t="shared" si="24"/>
        <v>2.8250000000000002</v>
      </c>
      <c r="G33" s="47">
        <f t="shared" si="24"/>
        <v>2.8250000000000002</v>
      </c>
      <c r="H33" s="47">
        <f t="shared" si="24"/>
        <v>2.8250000000000002</v>
      </c>
      <c r="I33" s="47">
        <f t="shared" si="24"/>
        <v>2.8250000000000002</v>
      </c>
      <c r="J33" s="47">
        <f t="shared" si="24"/>
        <v>2.8250000000000002</v>
      </c>
      <c r="K33" s="47">
        <f t="shared" si="24"/>
        <v>2.8250000000000002</v>
      </c>
      <c r="L33" s="47">
        <f t="shared" si="24"/>
        <v>2.8250000000000002</v>
      </c>
      <c r="M33" s="47">
        <f t="shared" si="24"/>
        <v>2.8250000000000002</v>
      </c>
      <c r="N33" s="47">
        <f t="shared" si="24"/>
        <v>1.2783333333333333</v>
      </c>
      <c r="O33" s="47">
        <f t="shared" si="24"/>
        <v>1.2783333333333333</v>
      </c>
      <c r="P33" s="47">
        <f t="shared" si="24"/>
        <v>1.2783333333333333</v>
      </c>
      <c r="Q33" s="47">
        <f t="shared" si="24"/>
        <v>1.2783333333333333</v>
      </c>
      <c r="R33" s="47">
        <f t="shared" si="24"/>
        <v>1.2783333333333333</v>
      </c>
      <c r="S33" s="47">
        <f t="shared" si="24"/>
        <v>1.2783333333333333</v>
      </c>
      <c r="T33" s="47">
        <f t="shared" si="24"/>
        <v>1.2783333333333333</v>
      </c>
      <c r="U33" s="47">
        <f t="shared" si="24"/>
        <v>1.2783333333333333</v>
      </c>
      <c r="V33" s="47">
        <f t="shared" si="24"/>
        <v>1.2783333333333333</v>
      </c>
      <c r="W33" s="47">
        <f t="shared" si="24"/>
        <v>1.2783333333333333</v>
      </c>
      <c r="X33" s="47">
        <f t="shared" si="24"/>
        <v>1.2783333333333333</v>
      </c>
      <c r="Y33" s="47">
        <f t="shared" si="24"/>
        <v>1.2383333333333335</v>
      </c>
      <c r="Z33" s="47">
        <f t="shared" si="24"/>
        <v>0.8683333333333334</v>
      </c>
      <c r="AA33" s="47">
        <f t="shared" si="24"/>
        <v>0.8683333333333334</v>
      </c>
      <c r="AB33" s="47">
        <f t="shared" si="24"/>
        <v>0.8683333333333334</v>
      </c>
      <c r="AC33" s="47">
        <f t="shared" si="24"/>
        <v>0.82833333333333337</v>
      </c>
      <c r="AD33" s="47">
        <f t="shared" si="24"/>
        <v>0.8683333333333334</v>
      </c>
      <c r="AE33" s="47">
        <f t="shared" si="24"/>
        <v>0.8683333333333334</v>
      </c>
      <c r="AF33" s="47">
        <f t="shared" si="24"/>
        <v>0.8683333333333334</v>
      </c>
      <c r="AG33" s="47">
        <f t="shared" si="24"/>
        <v>0.82833333333333337</v>
      </c>
      <c r="AH33" s="47">
        <f t="shared" ref="AH33:BI33" si="25">AH31+AH32</f>
        <v>0.8683333333333334</v>
      </c>
      <c r="AI33" s="47">
        <f t="shared" si="25"/>
        <v>0.8683333333333334</v>
      </c>
      <c r="AJ33" s="47">
        <f t="shared" si="25"/>
        <v>0.8683333333333334</v>
      </c>
      <c r="AK33" s="47">
        <f t="shared" si="25"/>
        <v>0.82833333333333337</v>
      </c>
      <c r="AL33" s="47">
        <f t="shared" si="25"/>
        <v>0.8</v>
      </c>
      <c r="AM33" s="47">
        <f t="shared" si="25"/>
        <v>0.8</v>
      </c>
      <c r="AN33" s="47">
        <f t="shared" si="25"/>
        <v>0.8</v>
      </c>
      <c r="AO33" s="47">
        <f t="shared" si="25"/>
        <v>0.8</v>
      </c>
      <c r="AP33" s="47">
        <f t="shared" si="25"/>
        <v>0.8</v>
      </c>
      <c r="AQ33" s="47">
        <f t="shared" si="25"/>
        <v>0.8</v>
      </c>
      <c r="AR33" s="47">
        <f t="shared" si="25"/>
        <v>0.8</v>
      </c>
      <c r="AS33" s="47">
        <f t="shared" si="25"/>
        <v>0.8</v>
      </c>
      <c r="AT33" s="47">
        <f t="shared" si="25"/>
        <v>0.8</v>
      </c>
      <c r="AU33" s="47">
        <f t="shared" si="25"/>
        <v>0.8</v>
      </c>
      <c r="AV33" s="47">
        <f t="shared" si="25"/>
        <v>0.8</v>
      </c>
      <c r="AW33" s="47">
        <f t="shared" si="25"/>
        <v>0.8</v>
      </c>
      <c r="AX33" s="47">
        <f t="shared" si="25"/>
        <v>0.8</v>
      </c>
      <c r="AY33" s="47">
        <f t="shared" si="25"/>
        <v>0.8</v>
      </c>
      <c r="AZ33" s="47">
        <f t="shared" si="25"/>
        <v>0.8</v>
      </c>
      <c r="BA33" s="47">
        <f t="shared" si="25"/>
        <v>0.8</v>
      </c>
      <c r="BB33" s="47">
        <f t="shared" si="25"/>
        <v>0.8</v>
      </c>
      <c r="BC33" s="47">
        <f t="shared" si="25"/>
        <v>0.8</v>
      </c>
      <c r="BD33" s="47">
        <f t="shared" si="25"/>
        <v>0.8</v>
      </c>
      <c r="BE33" s="47">
        <f t="shared" si="25"/>
        <v>0.8</v>
      </c>
      <c r="BF33" s="47">
        <f t="shared" si="25"/>
        <v>0.8</v>
      </c>
      <c r="BG33" s="47">
        <f t="shared" si="25"/>
        <v>0.8</v>
      </c>
      <c r="BH33" s="47">
        <f t="shared" si="25"/>
        <v>0.8</v>
      </c>
      <c r="BI33" s="48">
        <f t="shared" si="25"/>
        <v>0.8</v>
      </c>
    </row>
    <row r="34" spans="1:61" ht="15">
      <c r="A34" s="36" t="s">
        <v>304</v>
      </c>
      <c r="B34" s="47">
        <f>B33</f>
        <v>2.8250000000000002</v>
      </c>
      <c r="C34" s="47">
        <f t="shared" ref="C34:AH34" si="26">B34+C33</f>
        <v>5.65</v>
      </c>
      <c r="D34" s="47">
        <f t="shared" si="26"/>
        <v>8.4750000000000014</v>
      </c>
      <c r="E34" s="47">
        <f t="shared" si="26"/>
        <v>11.3</v>
      </c>
      <c r="F34" s="47">
        <f t="shared" si="26"/>
        <v>14.125</v>
      </c>
      <c r="G34" s="47">
        <f t="shared" si="26"/>
        <v>16.95</v>
      </c>
      <c r="H34" s="47">
        <f t="shared" si="26"/>
        <v>19.774999999999999</v>
      </c>
      <c r="I34" s="47">
        <f t="shared" si="26"/>
        <v>22.599999999999998</v>
      </c>
      <c r="J34" s="47">
        <f t="shared" si="26"/>
        <v>25.424999999999997</v>
      </c>
      <c r="K34" s="47">
        <f t="shared" si="26"/>
        <v>28.249999999999996</v>
      </c>
      <c r="L34" s="47">
        <f t="shared" si="26"/>
        <v>31.074999999999996</v>
      </c>
      <c r="M34" s="47">
        <f t="shared" si="26"/>
        <v>33.9</v>
      </c>
      <c r="N34" s="47">
        <f t="shared" si="26"/>
        <v>35.178333333333335</v>
      </c>
      <c r="O34" s="47">
        <f t="shared" si="26"/>
        <v>36.456666666666671</v>
      </c>
      <c r="P34" s="47">
        <f t="shared" si="26"/>
        <v>37.735000000000007</v>
      </c>
      <c r="Q34" s="47">
        <f t="shared" si="26"/>
        <v>39.013333333333343</v>
      </c>
      <c r="R34" s="47">
        <f t="shared" si="26"/>
        <v>40.291666666666679</v>
      </c>
      <c r="S34" s="47">
        <f t="shared" si="26"/>
        <v>41.570000000000014</v>
      </c>
      <c r="T34" s="47">
        <f t="shared" si="26"/>
        <v>42.84833333333335</v>
      </c>
      <c r="U34" s="47">
        <f t="shared" si="26"/>
        <v>44.126666666666686</v>
      </c>
      <c r="V34" s="47">
        <f t="shared" si="26"/>
        <v>45.405000000000022</v>
      </c>
      <c r="W34" s="47">
        <f t="shared" si="26"/>
        <v>46.683333333333358</v>
      </c>
      <c r="X34" s="47">
        <f t="shared" si="26"/>
        <v>47.961666666666694</v>
      </c>
      <c r="Y34" s="47">
        <f t="shared" si="26"/>
        <v>49.200000000000031</v>
      </c>
      <c r="Z34" s="47">
        <f t="shared" si="26"/>
        <v>50.068333333333364</v>
      </c>
      <c r="AA34" s="47">
        <f t="shared" si="26"/>
        <v>50.936666666666696</v>
      </c>
      <c r="AB34" s="47">
        <f t="shared" si="26"/>
        <v>51.805000000000028</v>
      </c>
      <c r="AC34" s="47">
        <f t="shared" si="26"/>
        <v>52.633333333333361</v>
      </c>
      <c r="AD34" s="47">
        <f t="shared" si="26"/>
        <v>53.501666666666694</v>
      </c>
      <c r="AE34" s="47">
        <f t="shared" si="26"/>
        <v>54.370000000000026</v>
      </c>
      <c r="AF34" s="47">
        <f t="shared" si="26"/>
        <v>55.238333333333358</v>
      </c>
      <c r="AG34" s="47">
        <f t="shared" si="26"/>
        <v>56.066666666666691</v>
      </c>
      <c r="AH34" s="47">
        <f t="shared" si="26"/>
        <v>56.935000000000024</v>
      </c>
      <c r="AI34" s="47">
        <f t="shared" ref="AI34:BI34" si="27">AH34+AI33</f>
        <v>57.803333333333356</v>
      </c>
      <c r="AJ34" s="47">
        <f t="shared" si="27"/>
        <v>58.671666666666688</v>
      </c>
      <c r="AK34" s="47">
        <f t="shared" si="27"/>
        <v>59.500000000000021</v>
      </c>
      <c r="AL34" s="47">
        <f t="shared" si="27"/>
        <v>60.300000000000018</v>
      </c>
      <c r="AM34" s="47">
        <f t="shared" si="27"/>
        <v>61.100000000000016</v>
      </c>
      <c r="AN34" s="47">
        <f t="shared" si="27"/>
        <v>61.900000000000013</v>
      </c>
      <c r="AO34" s="47">
        <f t="shared" si="27"/>
        <v>62.70000000000001</v>
      </c>
      <c r="AP34" s="47">
        <f t="shared" si="27"/>
        <v>63.500000000000007</v>
      </c>
      <c r="AQ34" s="47">
        <f t="shared" si="27"/>
        <v>64.300000000000011</v>
      </c>
      <c r="AR34" s="47">
        <f t="shared" si="27"/>
        <v>65.100000000000009</v>
      </c>
      <c r="AS34" s="47">
        <f t="shared" si="27"/>
        <v>65.900000000000006</v>
      </c>
      <c r="AT34" s="47">
        <f t="shared" si="27"/>
        <v>66.7</v>
      </c>
      <c r="AU34" s="47">
        <f t="shared" si="27"/>
        <v>67.5</v>
      </c>
      <c r="AV34" s="47">
        <f t="shared" si="27"/>
        <v>68.3</v>
      </c>
      <c r="AW34" s="47">
        <f t="shared" si="27"/>
        <v>69.099999999999994</v>
      </c>
      <c r="AX34" s="47">
        <f t="shared" si="27"/>
        <v>69.899999999999991</v>
      </c>
      <c r="AY34" s="47">
        <f t="shared" si="27"/>
        <v>70.699999999999989</v>
      </c>
      <c r="AZ34" s="47">
        <f t="shared" si="27"/>
        <v>71.499999999999986</v>
      </c>
      <c r="BA34" s="47">
        <f t="shared" si="27"/>
        <v>72.299999999999983</v>
      </c>
      <c r="BB34" s="47">
        <f t="shared" si="27"/>
        <v>73.09999999999998</v>
      </c>
      <c r="BC34" s="47">
        <f t="shared" si="27"/>
        <v>73.899999999999977</v>
      </c>
      <c r="BD34" s="47">
        <f t="shared" si="27"/>
        <v>74.699999999999974</v>
      </c>
      <c r="BE34" s="47">
        <f t="shared" si="27"/>
        <v>75.499999999999972</v>
      </c>
      <c r="BF34" s="47">
        <f t="shared" si="27"/>
        <v>76.299999999999969</v>
      </c>
      <c r="BG34" s="47">
        <f t="shared" si="27"/>
        <v>77.099999999999966</v>
      </c>
      <c r="BH34" s="47">
        <f t="shared" si="27"/>
        <v>77.899999999999963</v>
      </c>
      <c r="BI34" s="48">
        <f t="shared" si="27"/>
        <v>78.69999999999996</v>
      </c>
    </row>
    <row r="35" spans="1:61" ht="15">
      <c r="A35" s="36" t="s">
        <v>305</v>
      </c>
      <c r="B35" s="47">
        <f>B34/Assumptions!$B$18</f>
        <v>4.7083333333333338E-2</v>
      </c>
      <c r="C35" s="47">
        <f>C34/Assumptions!$B$18</f>
        <v>9.4166666666666676E-2</v>
      </c>
      <c r="D35" s="47">
        <f>D34/Assumptions!$B$18</f>
        <v>0.14125000000000001</v>
      </c>
      <c r="E35" s="47">
        <f>E34/Assumptions!$B$18</f>
        <v>0.18833333333333335</v>
      </c>
      <c r="F35" s="47">
        <f>F34/Assumptions!$B$18</f>
        <v>0.23541666666666666</v>
      </c>
      <c r="G35" s="47">
        <f>G34/Assumptions!$B$18</f>
        <v>0.28249999999999997</v>
      </c>
      <c r="H35" s="47">
        <f>H34/Assumptions!$B$18</f>
        <v>0.32958333333333328</v>
      </c>
      <c r="I35" s="47">
        <f>I34/Assumptions!$B$18</f>
        <v>0.37666666666666665</v>
      </c>
      <c r="J35" s="47">
        <f>J34/Assumptions!$B$18</f>
        <v>0.42374999999999996</v>
      </c>
      <c r="K35" s="47">
        <f>K34/Assumptions!$B$18</f>
        <v>0.47083333333333327</v>
      </c>
      <c r="L35" s="47">
        <f>L34/Assumptions!$B$18</f>
        <v>0.51791666666666658</v>
      </c>
      <c r="M35" s="47">
        <f>M34/Assumptions!$B$18</f>
        <v>0.56499999999999995</v>
      </c>
      <c r="N35" s="47">
        <f>N34/Assumptions!$B$18</f>
        <v>0.58630555555555552</v>
      </c>
      <c r="O35" s="47">
        <f>O34/Assumptions!$B$18</f>
        <v>0.60761111111111121</v>
      </c>
      <c r="P35" s="47">
        <f>P34/Assumptions!$B$18</f>
        <v>0.62891666666666679</v>
      </c>
      <c r="Q35" s="47">
        <f>Q34/Assumptions!$B$18</f>
        <v>0.65022222222222237</v>
      </c>
      <c r="R35" s="47">
        <f>R34/Assumptions!$B$18</f>
        <v>0.67152777777777795</v>
      </c>
      <c r="S35" s="47">
        <f>S34/Assumptions!$B$18</f>
        <v>0.69283333333333352</v>
      </c>
      <c r="T35" s="47">
        <f>T34/Assumptions!$B$18</f>
        <v>0.71413888888888921</v>
      </c>
      <c r="U35" s="47">
        <f>U34/Assumptions!$B$18</f>
        <v>0.73544444444444479</v>
      </c>
      <c r="V35" s="47">
        <f>V34/Assumptions!$B$18</f>
        <v>0.75675000000000037</v>
      </c>
      <c r="W35" s="47">
        <f>W34/Assumptions!$B$18</f>
        <v>0.77805555555555594</v>
      </c>
      <c r="X35" s="47">
        <f>X34/Assumptions!$B$18</f>
        <v>0.79936111111111152</v>
      </c>
      <c r="Y35" s="47">
        <f>Y34/Assumptions!$B$18</f>
        <v>0.82000000000000051</v>
      </c>
      <c r="Z35" s="47">
        <f>Z34/Assumptions!$B$18</f>
        <v>0.83447222222222273</v>
      </c>
      <c r="AA35" s="47">
        <f>AA34/Assumptions!$B$18</f>
        <v>0.84894444444444495</v>
      </c>
      <c r="AB35" s="47">
        <f>AB34/Assumptions!$B$18</f>
        <v>0.86341666666666717</v>
      </c>
      <c r="AC35" s="47">
        <f>AC34/Assumptions!$B$18</f>
        <v>0.87722222222222268</v>
      </c>
      <c r="AD35" s="47">
        <f>AD34/Assumptions!$B$18</f>
        <v>0.8916944444444449</v>
      </c>
      <c r="AE35" s="47">
        <f>AE34/Assumptions!$B$18</f>
        <v>0.90616666666666712</v>
      </c>
      <c r="AF35" s="47">
        <f>AF34/Assumptions!$B$18</f>
        <v>0.92063888888888934</v>
      </c>
      <c r="AG35" s="47">
        <f>AG34/Assumptions!$B$18</f>
        <v>0.93444444444444485</v>
      </c>
      <c r="AH35" s="47">
        <f>AH34/Assumptions!$B$18</f>
        <v>0.94891666666666707</v>
      </c>
      <c r="AI35" s="47">
        <f>AI34/Assumptions!$B$18</f>
        <v>0.96338888888888929</v>
      </c>
      <c r="AJ35" s="47">
        <f>AJ34/Assumptions!$B$18</f>
        <v>0.97786111111111151</v>
      </c>
      <c r="AK35" s="47">
        <f>AK34/Assumptions!$B$18</f>
        <v>0.99166666666666703</v>
      </c>
      <c r="AL35" s="47">
        <f>AL34/Assumptions!$B$18</f>
        <v>1.0050000000000003</v>
      </c>
      <c r="AM35" s="47">
        <f>AM34/Assumptions!$B$18</f>
        <v>1.0183333333333335</v>
      </c>
      <c r="AN35" s="47">
        <f>AN34/Assumptions!$B$18</f>
        <v>1.031666666666667</v>
      </c>
      <c r="AO35" s="47">
        <f>AO34/Assumptions!$B$18</f>
        <v>1.0450000000000002</v>
      </c>
      <c r="AP35" s="47">
        <f>AP34/Assumptions!$B$18</f>
        <v>1.0583333333333333</v>
      </c>
      <c r="AQ35" s="47">
        <f>AQ34/Assumptions!$B$18</f>
        <v>1.0716666666666668</v>
      </c>
      <c r="AR35" s="47">
        <f>AR34/Assumptions!$B$18</f>
        <v>1.0850000000000002</v>
      </c>
      <c r="AS35" s="47">
        <f>AS34/Assumptions!$B$18</f>
        <v>1.0983333333333334</v>
      </c>
      <c r="AT35" s="47">
        <f>AT34/Assumptions!$B$18</f>
        <v>1.1116666666666668</v>
      </c>
      <c r="AU35" s="47">
        <f>AU34/Assumptions!$B$18</f>
        <v>1.125</v>
      </c>
      <c r="AV35" s="47">
        <f>AV34/Assumptions!$B$18</f>
        <v>1.1383333333333332</v>
      </c>
      <c r="AW35" s="47">
        <f>AW34/Assumptions!$B$18</f>
        <v>1.1516666666666666</v>
      </c>
      <c r="AX35" s="47">
        <f>AX34/Assumptions!$B$18</f>
        <v>1.1649999999999998</v>
      </c>
      <c r="AY35" s="47">
        <f>AY34/Assumptions!$B$18</f>
        <v>1.1783333333333332</v>
      </c>
      <c r="AZ35" s="47">
        <f>AZ34/Assumptions!$B$18</f>
        <v>1.1916666666666664</v>
      </c>
      <c r="BA35" s="47">
        <f>BA34/Assumptions!$B$18</f>
        <v>1.2049999999999996</v>
      </c>
      <c r="BB35" s="47">
        <f>BB34/Assumptions!$B$18</f>
        <v>1.218333333333333</v>
      </c>
      <c r="BC35" s="47">
        <f>BC34/Assumptions!$B$18</f>
        <v>1.2316666666666662</v>
      </c>
      <c r="BD35" s="47">
        <f>BD34/Assumptions!$B$18</f>
        <v>1.2449999999999997</v>
      </c>
      <c r="BE35" s="47">
        <f>BE34/Assumptions!$B$18</f>
        <v>1.2583333333333329</v>
      </c>
      <c r="BF35" s="47">
        <f>BF34/Assumptions!$B$18</f>
        <v>1.2716666666666661</v>
      </c>
      <c r="BG35" s="47">
        <f>BG34/Assumptions!$B$18</f>
        <v>1.2849999999999995</v>
      </c>
      <c r="BH35" s="47">
        <f>BH34/Assumptions!$B$18</f>
        <v>1.2983333333333327</v>
      </c>
      <c r="BI35" s="48">
        <f>BI34/Assumptions!$B$18</f>
        <v>1.3116666666666661</v>
      </c>
    </row>
    <row r="36" spans="1:61" ht="15">
      <c r="A36" s="36" t="s">
        <v>306</v>
      </c>
      <c r="B36" s="47">
        <f>MAX(0,B34-B35)</f>
        <v>2.777916666666667</v>
      </c>
      <c r="C36" s="47">
        <f t="shared" ref="C36:AH36" si="28">MAX(0,B36+C33-C35)</f>
        <v>5.5087500000000009</v>
      </c>
      <c r="D36" s="47">
        <f t="shared" si="28"/>
        <v>8.1925000000000026</v>
      </c>
      <c r="E36" s="47">
        <f t="shared" si="28"/>
        <v>10.829166666666669</v>
      </c>
      <c r="F36" s="47">
        <f t="shared" si="28"/>
        <v>13.418750000000001</v>
      </c>
      <c r="G36" s="47">
        <f t="shared" si="28"/>
        <v>15.961250000000001</v>
      </c>
      <c r="H36" s="47">
        <f t="shared" si="28"/>
        <v>18.456666666666671</v>
      </c>
      <c r="I36" s="47">
        <f t="shared" si="28"/>
        <v>20.905000000000005</v>
      </c>
      <c r="J36" s="47">
        <f t="shared" si="28"/>
        <v>23.306250000000006</v>
      </c>
      <c r="K36" s="47">
        <f t="shared" si="28"/>
        <v>25.66041666666667</v>
      </c>
      <c r="L36" s="47">
        <f t="shared" si="28"/>
        <v>27.967500000000001</v>
      </c>
      <c r="M36" s="47">
        <f t="shared" si="28"/>
        <v>30.227499999999999</v>
      </c>
      <c r="N36" s="47">
        <f t="shared" si="28"/>
        <v>30.919527777777777</v>
      </c>
      <c r="O36" s="47">
        <f t="shared" si="28"/>
        <v>31.590249999999997</v>
      </c>
      <c r="P36" s="47">
        <f t="shared" si="28"/>
        <v>32.239666666666665</v>
      </c>
      <c r="Q36" s="47">
        <f t="shared" si="28"/>
        <v>32.867777777777775</v>
      </c>
      <c r="R36" s="47">
        <f t="shared" si="28"/>
        <v>33.474583333333335</v>
      </c>
      <c r="S36" s="47">
        <f t="shared" si="28"/>
        <v>34.060083333333338</v>
      </c>
      <c r="T36" s="47">
        <f t="shared" si="28"/>
        <v>34.624277777777785</v>
      </c>
      <c r="U36" s="47">
        <f t="shared" si="28"/>
        <v>35.167166666666674</v>
      </c>
      <c r="V36" s="47">
        <f t="shared" si="28"/>
        <v>35.688750000000006</v>
      </c>
      <c r="W36" s="47">
        <f t="shared" si="28"/>
        <v>36.189027777777788</v>
      </c>
      <c r="X36" s="47">
        <f t="shared" si="28"/>
        <v>36.668000000000013</v>
      </c>
      <c r="Y36" s="47">
        <f t="shared" si="28"/>
        <v>37.08633333333335</v>
      </c>
      <c r="Z36" s="47">
        <f t="shared" si="28"/>
        <v>37.120194444444458</v>
      </c>
      <c r="AA36" s="47">
        <f t="shared" si="28"/>
        <v>37.139583333333348</v>
      </c>
      <c r="AB36" s="47">
        <f t="shared" si="28"/>
        <v>37.144500000000015</v>
      </c>
      <c r="AC36" s="47">
        <f t="shared" si="28"/>
        <v>37.095611111111126</v>
      </c>
      <c r="AD36" s="47">
        <f t="shared" si="28"/>
        <v>37.072250000000011</v>
      </c>
      <c r="AE36" s="47">
        <f t="shared" si="28"/>
        <v>37.034416666666679</v>
      </c>
      <c r="AF36" s="47">
        <f t="shared" si="28"/>
        <v>36.982111111111124</v>
      </c>
      <c r="AG36" s="47">
        <f t="shared" si="28"/>
        <v>36.876000000000012</v>
      </c>
      <c r="AH36" s="47">
        <f t="shared" si="28"/>
        <v>36.795416666666675</v>
      </c>
      <c r="AI36" s="47">
        <f t="shared" ref="AI36:BI36" si="29">MAX(0,AH36+AI33-AI35)</f>
        <v>36.700361111111121</v>
      </c>
      <c r="AJ36" s="47">
        <f t="shared" si="29"/>
        <v>36.590833333333343</v>
      </c>
      <c r="AK36" s="47">
        <f t="shared" si="29"/>
        <v>36.427500000000009</v>
      </c>
      <c r="AL36" s="47">
        <f t="shared" si="29"/>
        <v>36.222500000000004</v>
      </c>
      <c r="AM36" s="47">
        <f t="shared" si="29"/>
        <v>36.00416666666667</v>
      </c>
      <c r="AN36" s="47">
        <f t="shared" si="29"/>
        <v>35.772500000000001</v>
      </c>
      <c r="AO36" s="47">
        <f t="shared" si="29"/>
        <v>35.527499999999996</v>
      </c>
      <c r="AP36" s="47">
        <f t="shared" si="29"/>
        <v>35.269166666666663</v>
      </c>
      <c r="AQ36" s="47">
        <f t="shared" si="29"/>
        <v>34.997499999999995</v>
      </c>
      <c r="AR36" s="47">
        <f t="shared" si="29"/>
        <v>34.712499999999991</v>
      </c>
      <c r="AS36" s="47">
        <f t="shared" si="29"/>
        <v>34.414166666666652</v>
      </c>
      <c r="AT36" s="47">
        <f t="shared" si="29"/>
        <v>34.102499999999985</v>
      </c>
      <c r="AU36" s="47">
        <f t="shared" si="29"/>
        <v>33.777499999999982</v>
      </c>
      <c r="AV36" s="47">
        <f t="shared" si="29"/>
        <v>33.439166666666644</v>
      </c>
      <c r="AW36" s="47">
        <f t="shared" si="29"/>
        <v>33.087499999999977</v>
      </c>
      <c r="AX36" s="47">
        <f t="shared" si="29"/>
        <v>32.722499999999975</v>
      </c>
      <c r="AY36" s="47">
        <f t="shared" si="29"/>
        <v>32.344166666666638</v>
      </c>
      <c r="AZ36" s="47">
        <f t="shared" si="29"/>
        <v>31.952499999999969</v>
      </c>
      <c r="BA36" s="47">
        <f t="shared" si="29"/>
        <v>31.547499999999971</v>
      </c>
      <c r="BB36" s="47">
        <f t="shared" si="29"/>
        <v>31.129166666666634</v>
      </c>
      <c r="BC36" s="47">
        <f t="shared" si="29"/>
        <v>30.69749999999997</v>
      </c>
      <c r="BD36" s="47">
        <f t="shared" si="29"/>
        <v>30.252499999999969</v>
      </c>
      <c r="BE36" s="47">
        <f t="shared" si="29"/>
        <v>29.794166666666637</v>
      </c>
      <c r="BF36" s="47">
        <f t="shared" si="29"/>
        <v>29.322499999999973</v>
      </c>
      <c r="BG36" s="47">
        <f t="shared" si="29"/>
        <v>28.837499999999974</v>
      </c>
      <c r="BH36" s="47">
        <f t="shared" si="29"/>
        <v>28.339166666666642</v>
      </c>
      <c r="BI36" s="48">
        <f t="shared" si="29"/>
        <v>27.827499999999976</v>
      </c>
    </row>
    <row r="37" spans="1:61" ht="27.75" customHeight="1">
      <c r="A37" s="36" t="s">
        <v>307</v>
      </c>
      <c r="B37" s="47">
        <f>B17*INDEX(Assumptions!$B$62:$F$62,1,B$5)/12</f>
        <v>0</v>
      </c>
      <c r="C37" s="47">
        <f>C17*INDEX(Assumptions!$B$62:$F$62,1,C$5)/12</f>
        <v>0</v>
      </c>
      <c r="D37" s="47">
        <f>D17*INDEX(Assumptions!$B$62:$F$62,1,D$5)/12</f>
        <v>0</v>
      </c>
      <c r="E37" s="47">
        <f>E17*INDEX(Assumptions!$B$62:$F$62,1,E$5)/12</f>
        <v>0</v>
      </c>
      <c r="F37" s="47">
        <f>F17*INDEX(Assumptions!$B$62:$F$62,1,F$5)/12</f>
        <v>0</v>
      </c>
      <c r="G37" s="47">
        <f>G17*INDEX(Assumptions!$B$62:$F$62,1,G$5)/12</f>
        <v>0</v>
      </c>
      <c r="H37" s="47">
        <f>H17*INDEX(Assumptions!$B$62:$F$62,1,H$5)/12</f>
        <v>0</v>
      </c>
      <c r="I37" s="47">
        <f>I17*INDEX(Assumptions!$B$62:$F$62,1,I$5)/12</f>
        <v>0</v>
      </c>
      <c r="J37" s="47">
        <f>J17*INDEX(Assumptions!$B$62:$F$62,1,J$5)/12</f>
        <v>0</v>
      </c>
      <c r="K37" s="47">
        <f>K17*INDEX(Assumptions!$B$62:$F$62,1,K$5)/12</f>
        <v>0</v>
      </c>
      <c r="L37" s="47">
        <f>L17*INDEX(Assumptions!$B$62:$F$62,1,L$5)/12</f>
        <v>0</v>
      </c>
      <c r="M37" s="47">
        <f>M17*INDEX(Assumptions!$B$62:$F$62,1,M$5)/12</f>
        <v>0</v>
      </c>
      <c r="N37" s="47">
        <f>N17*INDEX(Assumptions!$B$62:$F$62,1,N$5)/12</f>
        <v>3.5390625E-4</v>
      </c>
      <c r="O37" s="47">
        <f>O17*INDEX(Assumptions!$B$62:$F$62,1,O$5)/12</f>
        <v>1.0945312499999998E-3</v>
      </c>
      <c r="P37" s="47">
        <f>P17*INDEX(Assumptions!$B$62:$F$62,1,P$5)/12</f>
        <v>1.9007812499999997E-3</v>
      </c>
      <c r="Q37" s="47">
        <f>Q17*INDEX(Assumptions!$B$62:$F$62,1,Q$5)/12</f>
        <v>2.7726562499999999E-3</v>
      </c>
      <c r="R37" s="47">
        <f>R17*INDEX(Assumptions!$B$62:$F$62,1,R$5)/12</f>
        <v>3.7101562499999995E-3</v>
      </c>
      <c r="S37" s="47">
        <f>S17*INDEX(Assumptions!$B$62:$F$62,1,S$5)/12</f>
        <v>4.7132812499999987E-3</v>
      </c>
      <c r="T37" s="47">
        <f>T17*INDEX(Assumptions!$B$62:$F$62,1,T$5)/12</f>
        <v>5.782031249999999E-3</v>
      </c>
      <c r="U37" s="47">
        <f>U17*INDEX(Assumptions!$B$62:$F$62,1,U$5)/12</f>
        <v>6.9164062499999998E-3</v>
      </c>
      <c r="V37" s="47">
        <f>V17*INDEX(Assumptions!$B$62:$F$62,1,V$5)/12</f>
        <v>8.1164062500000012E-3</v>
      </c>
      <c r="W37" s="47">
        <f>W17*INDEX(Assumptions!$B$62:$F$62,1,W$5)/12</f>
        <v>9.3820312500000006E-3</v>
      </c>
      <c r="X37" s="47">
        <f>X17*INDEX(Assumptions!$B$62:$F$62,1,X$5)/12</f>
        <v>1.071328125E-2</v>
      </c>
      <c r="Y37" s="47">
        <f>Y17*INDEX(Assumptions!$B$62:$F$62,1,Y$5)/12</f>
        <v>1.2110156249999999E-2</v>
      </c>
      <c r="Z37" s="47">
        <f>Z17*INDEX(Assumptions!$B$62:$F$62,1,Z$5)/12</f>
        <v>2.6210624999999998E-2</v>
      </c>
      <c r="AA37" s="47">
        <f>AA17*INDEX(Assumptions!$B$62:$F$62,1,AA$5)/12</f>
        <v>3.7734374999999994E-2</v>
      </c>
      <c r="AB37" s="47">
        <f>AB17*INDEX(Assumptions!$B$62:$F$62,1,AB$5)/12</f>
        <v>3.9140624999999998E-2</v>
      </c>
      <c r="AC37" s="47">
        <f>AC17*INDEX(Assumptions!$B$62:$F$62,1,AC$5)/12</f>
        <v>4.0546874999999996E-2</v>
      </c>
      <c r="AD37" s="47">
        <f>AD17*INDEX(Assumptions!$B$62:$F$62,1,AD$5)/12</f>
        <v>4.1953125000000001E-2</v>
      </c>
      <c r="AE37" s="47">
        <f>AE17*INDEX(Assumptions!$B$62:$F$62,1,AE$5)/12</f>
        <v>4.3359374999999999E-2</v>
      </c>
      <c r="AF37" s="47">
        <f>AF17*INDEX(Assumptions!$B$62:$F$62,1,AF$5)/12</f>
        <v>4.4765624999999996E-2</v>
      </c>
      <c r="AG37" s="47">
        <f>AG17*INDEX(Assumptions!$B$62:$F$62,1,AG$5)/12</f>
        <v>4.6171875000000001E-2</v>
      </c>
      <c r="AH37" s="47">
        <f>AH17*INDEX(Assumptions!$B$62:$F$62,1,AH$5)/12</f>
        <v>4.7578124999999999E-2</v>
      </c>
      <c r="AI37" s="47">
        <f>AI17*INDEX(Assumptions!$B$62:$F$62,1,AI$5)/12</f>
        <v>4.8984374999999997E-2</v>
      </c>
      <c r="AJ37" s="47">
        <f>AJ17*INDEX(Assumptions!$B$62:$F$62,1,AJ$5)/12</f>
        <v>5.0390624999999994E-2</v>
      </c>
      <c r="AK37" s="47">
        <f>AK17*INDEX(Assumptions!$B$62:$F$62,1,AK$5)/12</f>
        <v>5.1796874999999992E-2</v>
      </c>
      <c r="AL37" s="47">
        <f>AL17*INDEX(Assumptions!$B$62:$F$62,1,AL$5)/12</f>
        <v>7.5687499999999991E-2</v>
      </c>
      <c r="AM37" s="47">
        <f>AM17*INDEX(Assumptions!$B$62:$F$62,1,AM$5)/12</f>
        <v>9.4645833333333318E-2</v>
      </c>
      <c r="AN37" s="47">
        <f>AN17*INDEX(Assumptions!$B$62:$F$62,1,AN$5)/12</f>
        <v>9.7854166666666645E-2</v>
      </c>
      <c r="AO37" s="47">
        <f>AO17*INDEX(Assumptions!$B$62:$F$62,1,AO$5)/12</f>
        <v>0.1010625</v>
      </c>
      <c r="AP37" s="47">
        <f>AP17*INDEX(Assumptions!$B$62:$F$62,1,AP$5)/12</f>
        <v>0.10427083333333333</v>
      </c>
      <c r="AQ37" s="47">
        <f>AQ17*INDEX(Assumptions!$B$62:$F$62,1,AQ$5)/12</f>
        <v>0.10747916666666667</v>
      </c>
      <c r="AR37" s="47">
        <f>AR17*INDEX(Assumptions!$B$62:$F$62,1,AR$5)/12</f>
        <v>0.11068749999999999</v>
      </c>
      <c r="AS37" s="47">
        <f>AS17*INDEX(Assumptions!$B$62:$F$62,1,AS$5)/12</f>
        <v>0.11389583333333335</v>
      </c>
      <c r="AT37" s="47">
        <f>AT17*INDEX(Assumptions!$B$62:$F$62,1,AT$5)/12</f>
        <v>0.11710416666666666</v>
      </c>
      <c r="AU37" s="47">
        <f>AU17*INDEX(Assumptions!$B$62:$F$62,1,AU$5)/12</f>
        <v>0.1203125</v>
      </c>
      <c r="AV37" s="47">
        <f>AV17*INDEX(Assumptions!$B$62:$F$62,1,AV$5)/12</f>
        <v>0.1235208333333333</v>
      </c>
      <c r="AW37" s="47">
        <f>AW17*INDEX(Assumptions!$B$62:$F$62,1,AW$5)/12</f>
        <v>0.12672916666666664</v>
      </c>
      <c r="AX37" s="47">
        <f>AX17*INDEX(Assumptions!$B$62:$F$62,1,AX$5)/12</f>
        <v>0.16078333333333333</v>
      </c>
      <c r="AY37" s="47">
        <f>AY17*INDEX(Assumptions!$B$62:$F$62,1,AY$5)/12</f>
        <v>0.18260000000000001</v>
      </c>
      <c r="AZ37" s="47">
        <f>AZ17*INDEX(Assumptions!$B$62:$F$62,1,AZ$5)/12</f>
        <v>0.18699999999999997</v>
      </c>
      <c r="BA37" s="47">
        <f>BA17*INDEX(Assumptions!$B$62:$F$62,1,BA$5)/12</f>
        <v>0.19140000000000001</v>
      </c>
      <c r="BB37" s="47">
        <f>BB17*INDEX(Assumptions!$B$62:$F$62,1,BB$5)/12</f>
        <v>0.1958</v>
      </c>
      <c r="BC37" s="47">
        <f>BC17*INDEX(Assumptions!$B$62:$F$62,1,BC$5)/12</f>
        <v>0.20020000000000002</v>
      </c>
      <c r="BD37" s="47">
        <f>BD17*INDEX(Assumptions!$B$62:$F$62,1,BD$5)/12</f>
        <v>0.2046</v>
      </c>
      <c r="BE37" s="47">
        <f>BE17*INDEX(Assumptions!$B$62:$F$62,1,BE$5)/12</f>
        <v>0.20899999999999999</v>
      </c>
      <c r="BF37" s="47">
        <f>BF17*INDEX(Assumptions!$B$62:$F$62,1,BF$5)/12</f>
        <v>0.21340000000000001</v>
      </c>
      <c r="BG37" s="47">
        <f>BG17*INDEX(Assumptions!$B$62:$F$62,1,BG$5)/12</f>
        <v>0.21779999999999999</v>
      </c>
      <c r="BH37" s="47">
        <f>BH17*INDEX(Assumptions!$B$62:$F$62,1,BH$5)/12</f>
        <v>0.22219999999999998</v>
      </c>
      <c r="BI37" s="48">
        <f>BI17*INDEX(Assumptions!$B$62:$F$62,1,BI$5)/12</f>
        <v>0.2266</v>
      </c>
    </row>
    <row r="38" spans="1:61" ht="27.75" customHeight="1">
      <c r="A38" s="36" t="s">
        <v>308</v>
      </c>
      <c r="B38" s="47">
        <f t="shared" ref="B38:AG38" si="30">B26-B27-B28-B29</f>
        <v>-0.74675052083333326</v>
      </c>
      <c r="C38" s="47">
        <f t="shared" si="30"/>
        <v>-0.72169114583333338</v>
      </c>
      <c r="D38" s="47">
        <f t="shared" si="30"/>
        <v>-0.6964552083333333</v>
      </c>
      <c r="E38" s="47">
        <f t="shared" si="30"/>
        <v>-0.67104270833333335</v>
      </c>
      <c r="F38" s="47">
        <f t="shared" si="30"/>
        <v>-0.64545364583333331</v>
      </c>
      <c r="G38" s="47">
        <f t="shared" si="30"/>
        <v>-0.61968802083333341</v>
      </c>
      <c r="H38" s="47">
        <f t="shared" si="30"/>
        <v>-0.59374583333333331</v>
      </c>
      <c r="I38" s="47">
        <f t="shared" si="30"/>
        <v>-0.56762708333333334</v>
      </c>
      <c r="J38" s="47">
        <f t="shared" si="30"/>
        <v>-0.54133177083333339</v>
      </c>
      <c r="K38" s="47">
        <f t="shared" si="30"/>
        <v>-0.51485989583333336</v>
      </c>
      <c r="L38" s="47">
        <f t="shared" si="30"/>
        <v>-0.48821145833333335</v>
      </c>
      <c r="M38" s="47">
        <f t="shared" si="30"/>
        <v>-0.4613864583333333</v>
      </c>
      <c r="N38" s="47">
        <f t="shared" si="30"/>
        <v>-0.37192040277777727</v>
      </c>
      <c r="O38" s="47">
        <f t="shared" si="30"/>
        <v>-0.34800787499999969</v>
      </c>
      <c r="P38" s="47">
        <f t="shared" si="30"/>
        <v>-0.32360762499999973</v>
      </c>
      <c r="Q38" s="47">
        <f t="shared" si="30"/>
        <v>-0.29871965277777751</v>
      </c>
      <c r="R38" s="47">
        <f t="shared" si="30"/>
        <v>-0.2733439583333328</v>
      </c>
      <c r="S38" s="47">
        <f t="shared" si="30"/>
        <v>-0.2474805416666665</v>
      </c>
      <c r="T38" s="47">
        <f t="shared" si="30"/>
        <v>-0.2211294027777776</v>
      </c>
      <c r="U38" s="47">
        <f t="shared" si="30"/>
        <v>-0.19429054166666623</v>
      </c>
      <c r="V38" s="47">
        <f t="shared" si="30"/>
        <v>-0.16696395833333322</v>
      </c>
      <c r="W38" s="47">
        <f t="shared" si="30"/>
        <v>-0.13914965277777755</v>
      </c>
      <c r="X38" s="47">
        <f t="shared" si="30"/>
        <v>-0.11084762499999959</v>
      </c>
      <c r="Y38" s="47">
        <f t="shared" si="30"/>
        <v>-8.1900541666666452E-2</v>
      </c>
      <c r="Z38" s="47">
        <f t="shared" si="30"/>
        <v>3.8456168981481478E-2</v>
      </c>
      <c r="AA38" s="47">
        <f t="shared" si="30"/>
        <v>0.15720809027777738</v>
      </c>
      <c r="AB38" s="47">
        <f t="shared" si="30"/>
        <v>0.1945182291666665</v>
      </c>
      <c r="AC38" s="47">
        <f t="shared" si="30"/>
        <v>0.23205255787037021</v>
      </c>
      <c r="AD38" s="47">
        <f t="shared" si="30"/>
        <v>0.26948052083333335</v>
      </c>
      <c r="AE38" s="47">
        <f t="shared" si="30"/>
        <v>0.306968784722222</v>
      </c>
      <c r="AF38" s="47">
        <f t="shared" si="30"/>
        <v>0.34451734953703678</v>
      </c>
      <c r="AG38" s="47">
        <f t="shared" si="30"/>
        <v>0.38229010416666648</v>
      </c>
      <c r="AH38" s="47">
        <f t="shared" ref="AH38:BI38" si="31">AH26-AH27-AH28-AH29</f>
        <v>0.41995649305555521</v>
      </c>
      <c r="AI38" s="47">
        <f t="shared" si="31"/>
        <v>0.45768318287036985</v>
      </c>
      <c r="AJ38" s="47">
        <f t="shared" si="31"/>
        <v>0.49547017361111095</v>
      </c>
      <c r="AK38" s="47">
        <f t="shared" si="31"/>
        <v>0.53348135416666653</v>
      </c>
      <c r="AL38" s="47">
        <f t="shared" si="31"/>
        <v>0.54315791666666624</v>
      </c>
      <c r="AM38" s="47">
        <f t="shared" si="31"/>
        <v>0.71943402777777776</v>
      </c>
      <c r="AN38" s="47">
        <f t="shared" si="31"/>
        <v>0.7776429166666663</v>
      </c>
      <c r="AO38" s="47">
        <f t="shared" si="31"/>
        <v>0.83590958333333343</v>
      </c>
      <c r="AP38" s="47">
        <f t="shared" si="31"/>
        <v>0.89423402777777783</v>
      </c>
      <c r="AQ38" s="47">
        <f t="shared" si="31"/>
        <v>0.95261624999999972</v>
      </c>
      <c r="AR38" s="47">
        <f t="shared" si="31"/>
        <v>1.01105625</v>
      </c>
      <c r="AS38" s="47">
        <f t="shared" si="31"/>
        <v>1.069554027777778</v>
      </c>
      <c r="AT38" s="47">
        <f t="shared" si="31"/>
        <v>1.1281095833333332</v>
      </c>
      <c r="AU38" s="47">
        <f t="shared" si="31"/>
        <v>1.1867229166666666</v>
      </c>
      <c r="AV38" s="47">
        <f t="shared" si="31"/>
        <v>1.2453940277777773</v>
      </c>
      <c r="AW38" s="47">
        <f t="shared" si="31"/>
        <v>1.3041229166666666</v>
      </c>
      <c r="AX38" s="47">
        <f t="shared" si="31"/>
        <v>1.2945989583333335</v>
      </c>
      <c r="AY38" s="47">
        <f t="shared" si="31"/>
        <v>1.4766599305555557</v>
      </c>
      <c r="AZ38" s="47">
        <f t="shared" si="31"/>
        <v>1.540029791666667</v>
      </c>
      <c r="BA38" s="47">
        <f t="shared" si="31"/>
        <v>1.6034585416666665</v>
      </c>
      <c r="BB38" s="47">
        <f t="shared" si="31"/>
        <v>1.6669461805555552</v>
      </c>
      <c r="BC38" s="47">
        <f t="shared" si="31"/>
        <v>1.730492708333333</v>
      </c>
      <c r="BD38" s="47">
        <f t="shared" si="31"/>
        <v>1.7940981250000001</v>
      </c>
      <c r="BE38" s="47">
        <f t="shared" si="31"/>
        <v>1.8577624305555549</v>
      </c>
      <c r="BF38" s="47">
        <f t="shared" si="31"/>
        <v>1.9214856249999994</v>
      </c>
      <c r="BG38" s="47">
        <f t="shared" si="31"/>
        <v>1.9852677083333339</v>
      </c>
      <c r="BH38" s="47">
        <f t="shared" si="31"/>
        <v>2.049108680555555</v>
      </c>
      <c r="BI38" s="48">
        <f t="shared" si="31"/>
        <v>2.113008541666666</v>
      </c>
    </row>
    <row r="39" spans="1:61" ht="15">
      <c r="A39" s="36" t="s">
        <v>309</v>
      </c>
      <c r="B39" s="47">
        <f t="shared" ref="B39:AG39" si="32">B38-B35-B37</f>
        <v>-0.79383385416666663</v>
      </c>
      <c r="C39" s="47">
        <f t="shared" si="32"/>
        <v>-0.8158578125</v>
      </c>
      <c r="D39" s="47">
        <f t="shared" si="32"/>
        <v>-0.83770520833333328</v>
      </c>
      <c r="E39" s="47">
        <f t="shared" si="32"/>
        <v>-0.8593760416666667</v>
      </c>
      <c r="F39" s="47">
        <f t="shared" si="32"/>
        <v>-0.88087031249999992</v>
      </c>
      <c r="G39" s="47">
        <f t="shared" si="32"/>
        <v>-0.90218802083333338</v>
      </c>
      <c r="H39" s="47">
        <f t="shared" si="32"/>
        <v>-0.92332916666666653</v>
      </c>
      <c r="I39" s="47">
        <f t="shared" si="32"/>
        <v>-0.94429374999999993</v>
      </c>
      <c r="J39" s="47">
        <f t="shared" si="32"/>
        <v>-0.96508177083333335</v>
      </c>
      <c r="K39" s="47">
        <f t="shared" si="32"/>
        <v>-0.98569322916666668</v>
      </c>
      <c r="L39" s="47">
        <f t="shared" si="32"/>
        <v>-1.006128125</v>
      </c>
      <c r="M39" s="47">
        <f t="shared" si="32"/>
        <v>-1.0263864583333333</v>
      </c>
      <c r="N39" s="47">
        <f t="shared" si="32"/>
        <v>-0.95857986458333277</v>
      </c>
      <c r="O39" s="47">
        <f t="shared" si="32"/>
        <v>-0.95671351736111088</v>
      </c>
      <c r="P39" s="47">
        <f t="shared" si="32"/>
        <v>-0.95442507291666656</v>
      </c>
      <c r="Q39" s="47">
        <f t="shared" si="32"/>
        <v>-0.95171453124999983</v>
      </c>
      <c r="R39" s="47">
        <f t="shared" si="32"/>
        <v>-0.94858189236111079</v>
      </c>
      <c r="S39" s="47">
        <f t="shared" si="32"/>
        <v>-0.94502715625</v>
      </c>
      <c r="T39" s="47">
        <f t="shared" si="32"/>
        <v>-0.94105032291666679</v>
      </c>
      <c r="U39" s="47">
        <f t="shared" si="32"/>
        <v>-0.93665139236111106</v>
      </c>
      <c r="V39" s="47">
        <f t="shared" si="32"/>
        <v>-0.93183036458333357</v>
      </c>
      <c r="W39" s="47">
        <f t="shared" si="32"/>
        <v>-0.92658723958333356</v>
      </c>
      <c r="X39" s="47">
        <f t="shared" si="32"/>
        <v>-0.92092201736111112</v>
      </c>
      <c r="Y39" s="47">
        <f t="shared" si="32"/>
        <v>-0.914010697916667</v>
      </c>
      <c r="Z39" s="47">
        <f t="shared" si="32"/>
        <v>-0.82222667824074125</v>
      </c>
      <c r="AA39" s="47">
        <f t="shared" si="32"/>
        <v>-0.72947072916666755</v>
      </c>
      <c r="AB39" s="47">
        <f t="shared" si="32"/>
        <v>-0.7080390625000007</v>
      </c>
      <c r="AC39" s="47">
        <f t="shared" si="32"/>
        <v>-0.68571653935185251</v>
      </c>
      <c r="AD39" s="47">
        <f t="shared" si="32"/>
        <v>-0.66416704861111153</v>
      </c>
      <c r="AE39" s="47">
        <f t="shared" si="32"/>
        <v>-0.6425572569444451</v>
      </c>
      <c r="AF39" s="47">
        <f t="shared" si="32"/>
        <v>-0.62088716435185265</v>
      </c>
      <c r="AG39" s="47">
        <f t="shared" si="32"/>
        <v>-0.59832621527777841</v>
      </c>
      <c r="AH39" s="47">
        <f t="shared" ref="AH39:BI39" si="33">AH38-AH35-AH37</f>
        <v>-0.57653829861111183</v>
      </c>
      <c r="AI39" s="47">
        <f t="shared" si="33"/>
        <v>-0.55469008101851947</v>
      </c>
      <c r="AJ39" s="47">
        <f t="shared" si="33"/>
        <v>-0.53278156250000053</v>
      </c>
      <c r="AK39" s="47">
        <f t="shared" si="33"/>
        <v>-0.50998218750000046</v>
      </c>
      <c r="AL39" s="47">
        <f t="shared" si="33"/>
        <v>-0.53752958333333412</v>
      </c>
      <c r="AM39" s="47">
        <f t="shared" si="33"/>
        <v>-0.39354513888888909</v>
      </c>
      <c r="AN39" s="47">
        <f t="shared" si="33"/>
        <v>-0.35187791666666729</v>
      </c>
      <c r="AO39" s="47">
        <f t="shared" si="33"/>
        <v>-0.31015291666666672</v>
      </c>
      <c r="AP39" s="47">
        <f t="shared" si="33"/>
        <v>-0.26837013888888883</v>
      </c>
      <c r="AQ39" s="47">
        <f t="shared" si="33"/>
        <v>-0.22652958333333373</v>
      </c>
      <c r="AR39" s="47">
        <f t="shared" si="33"/>
        <v>-0.18463125000000019</v>
      </c>
      <c r="AS39" s="47">
        <f t="shared" si="33"/>
        <v>-0.14267513888888878</v>
      </c>
      <c r="AT39" s="47">
        <f t="shared" si="33"/>
        <v>-0.10066125000000024</v>
      </c>
      <c r="AU39" s="47">
        <f t="shared" si="33"/>
        <v>-5.8589583333333375E-2</v>
      </c>
      <c r="AV39" s="47">
        <f t="shared" si="33"/>
        <v>-1.6460138888889198E-2</v>
      </c>
      <c r="AW39" s="47">
        <f t="shared" si="33"/>
        <v>2.5727083333333317E-2</v>
      </c>
      <c r="AX39" s="47">
        <f t="shared" si="33"/>
        <v>-3.1184374999999653E-2</v>
      </c>
      <c r="AY39" s="47">
        <f t="shared" si="33"/>
        <v>0.11572659722222242</v>
      </c>
      <c r="AZ39" s="47">
        <f t="shared" si="33"/>
        <v>0.16136312500000058</v>
      </c>
      <c r="BA39" s="47">
        <f t="shared" si="33"/>
        <v>0.20705854166666682</v>
      </c>
      <c r="BB39" s="47">
        <f t="shared" si="33"/>
        <v>0.25281284722222219</v>
      </c>
      <c r="BC39" s="47">
        <f t="shared" si="33"/>
        <v>0.29862604166666673</v>
      </c>
      <c r="BD39" s="47">
        <f t="shared" si="33"/>
        <v>0.34449812500000043</v>
      </c>
      <c r="BE39" s="47">
        <f t="shared" si="33"/>
        <v>0.39042909722222208</v>
      </c>
      <c r="BF39" s="47">
        <f t="shared" si="33"/>
        <v>0.43641895833333333</v>
      </c>
      <c r="BG39" s="47">
        <f t="shared" si="33"/>
        <v>0.48246770833333441</v>
      </c>
      <c r="BH39" s="47">
        <f t="shared" si="33"/>
        <v>0.52857534722222232</v>
      </c>
      <c r="BI39" s="48">
        <f t="shared" si="33"/>
        <v>0.57474187499999985</v>
      </c>
    </row>
    <row r="40" spans="1:61" ht="15">
      <c r="A40" s="36" t="s">
        <v>310</v>
      </c>
      <c r="B40" s="47">
        <f>IF(B39&gt;0,B39*Assumptions!$B$8,0)</f>
        <v>0</v>
      </c>
      <c r="C40" s="47">
        <f>IF(C39&gt;0,C39*Assumptions!$B$8,0)</f>
        <v>0</v>
      </c>
      <c r="D40" s="47">
        <f>IF(D39&gt;0,D39*Assumptions!$B$8,0)</f>
        <v>0</v>
      </c>
      <c r="E40" s="47">
        <f>IF(E39&gt;0,E39*Assumptions!$B$8,0)</f>
        <v>0</v>
      </c>
      <c r="F40" s="47">
        <f>IF(F39&gt;0,F39*Assumptions!$B$8,0)</f>
        <v>0</v>
      </c>
      <c r="G40" s="47">
        <f>IF(G39&gt;0,G39*Assumptions!$B$8,0)</f>
        <v>0</v>
      </c>
      <c r="H40" s="47">
        <f>IF(H39&gt;0,H39*Assumptions!$B$8,0)</f>
        <v>0</v>
      </c>
      <c r="I40" s="47">
        <f>IF(I39&gt;0,I39*Assumptions!$B$8,0)</f>
        <v>0</v>
      </c>
      <c r="J40" s="47">
        <f>IF(J39&gt;0,J39*Assumptions!$B$8,0)</f>
        <v>0</v>
      </c>
      <c r="K40" s="47">
        <f>IF(K39&gt;0,K39*Assumptions!$B$8,0)</f>
        <v>0</v>
      </c>
      <c r="L40" s="47">
        <f>IF(L39&gt;0,L39*Assumptions!$B$8,0)</f>
        <v>0</v>
      </c>
      <c r="M40" s="47">
        <f>IF(M39&gt;0,M39*Assumptions!$B$8,0)</f>
        <v>0</v>
      </c>
      <c r="N40" s="47">
        <f>IF(N39&gt;0,N39*Assumptions!$B$8,0)</f>
        <v>0</v>
      </c>
      <c r="O40" s="47">
        <f>IF(O39&gt;0,O39*Assumptions!$B$8,0)</f>
        <v>0</v>
      </c>
      <c r="P40" s="47">
        <f>IF(P39&gt;0,P39*Assumptions!$B$8,0)</f>
        <v>0</v>
      </c>
      <c r="Q40" s="47">
        <f>IF(Q39&gt;0,Q39*Assumptions!$B$8,0)</f>
        <v>0</v>
      </c>
      <c r="R40" s="47">
        <f>IF(R39&gt;0,R39*Assumptions!$B$8,0)</f>
        <v>0</v>
      </c>
      <c r="S40" s="47">
        <f>IF(S39&gt;0,S39*Assumptions!$B$8,0)</f>
        <v>0</v>
      </c>
      <c r="T40" s="47">
        <f>IF(T39&gt;0,T39*Assumptions!$B$8,0)</f>
        <v>0</v>
      </c>
      <c r="U40" s="47">
        <f>IF(U39&gt;0,U39*Assumptions!$B$8,0)</f>
        <v>0</v>
      </c>
      <c r="V40" s="47">
        <f>IF(V39&gt;0,V39*Assumptions!$B$8,0)</f>
        <v>0</v>
      </c>
      <c r="W40" s="47">
        <f>IF(W39&gt;0,W39*Assumptions!$B$8,0)</f>
        <v>0</v>
      </c>
      <c r="X40" s="47">
        <f>IF(X39&gt;0,X39*Assumptions!$B$8,0)</f>
        <v>0</v>
      </c>
      <c r="Y40" s="47">
        <f>IF(Y39&gt;0,Y39*Assumptions!$B$8,0)</f>
        <v>0</v>
      </c>
      <c r="Z40" s="47">
        <f>IF(Z39&gt;0,Z39*Assumptions!$B$8,0)</f>
        <v>0</v>
      </c>
      <c r="AA40" s="47">
        <f>IF(AA39&gt;0,AA39*Assumptions!$B$8,0)</f>
        <v>0</v>
      </c>
      <c r="AB40" s="47">
        <f>IF(AB39&gt;0,AB39*Assumptions!$B$8,0)</f>
        <v>0</v>
      </c>
      <c r="AC40" s="47">
        <f>IF(AC39&gt;0,AC39*Assumptions!$B$8,0)</f>
        <v>0</v>
      </c>
      <c r="AD40" s="47">
        <f>IF(AD39&gt;0,AD39*Assumptions!$B$8,0)</f>
        <v>0</v>
      </c>
      <c r="AE40" s="47">
        <f>IF(AE39&gt;0,AE39*Assumptions!$B$8,0)</f>
        <v>0</v>
      </c>
      <c r="AF40" s="47">
        <f>IF(AF39&gt;0,AF39*Assumptions!$B$8,0)</f>
        <v>0</v>
      </c>
      <c r="AG40" s="47">
        <f>IF(AG39&gt;0,AG39*Assumptions!$B$8,0)</f>
        <v>0</v>
      </c>
      <c r="AH40" s="47">
        <f>IF(AH39&gt;0,AH39*Assumptions!$B$8,0)</f>
        <v>0</v>
      </c>
      <c r="AI40" s="47">
        <f>IF(AI39&gt;0,AI39*Assumptions!$B$8,0)</f>
        <v>0</v>
      </c>
      <c r="AJ40" s="47">
        <f>IF(AJ39&gt;0,AJ39*Assumptions!$B$8,0)</f>
        <v>0</v>
      </c>
      <c r="AK40" s="47">
        <f>IF(AK39&gt;0,AK39*Assumptions!$B$8,0)</f>
        <v>0</v>
      </c>
      <c r="AL40" s="47">
        <f>IF(AL39&gt;0,AL39*Assumptions!$B$8,0)</f>
        <v>0</v>
      </c>
      <c r="AM40" s="47">
        <f>IF(AM39&gt;0,AM39*Assumptions!$B$8,0)</f>
        <v>0</v>
      </c>
      <c r="AN40" s="47">
        <f>IF(AN39&gt;0,AN39*Assumptions!$B$8,0)</f>
        <v>0</v>
      </c>
      <c r="AO40" s="47">
        <f>IF(AO39&gt;0,AO39*Assumptions!$B$8,0)</f>
        <v>0</v>
      </c>
      <c r="AP40" s="47">
        <f>IF(AP39&gt;0,AP39*Assumptions!$B$8,0)</f>
        <v>0</v>
      </c>
      <c r="AQ40" s="47">
        <f>IF(AQ39&gt;0,AQ39*Assumptions!$B$8,0)</f>
        <v>0</v>
      </c>
      <c r="AR40" s="47">
        <f>IF(AR39&gt;0,AR39*Assumptions!$B$8,0)</f>
        <v>0</v>
      </c>
      <c r="AS40" s="47">
        <f>IF(AS39&gt;0,AS39*Assumptions!$B$8,0)</f>
        <v>0</v>
      </c>
      <c r="AT40" s="47">
        <f>IF(AT39&gt;0,AT39*Assumptions!$B$8,0)</f>
        <v>0</v>
      </c>
      <c r="AU40" s="47">
        <f>IF(AU39&gt;0,AU39*Assumptions!$B$8,0)</f>
        <v>0</v>
      </c>
      <c r="AV40" s="47">
        <f>IF(AV39&gt;0,AV39*Assumptions!$B$8,0)</f>
        <v>0</v>
      </c>
      <c r="AW40" s="47">
        <f>IF(AW39&gt;0,AW39*Assumptions!$B$8,0)</f>
        <v>3.8590624999999975E-3</v>
      </c>
      <c r="AX40" s="47">
        <f>IF(AX39&gt;0,AX39*Assumptions!$B$8,0)</f>
        <v>0</v>
      </c>
      <c r="AY40" s="47">
        <f>IF(AY39&gt;0,AY39*Assumptions!$B$8,0)</f>
        <v>1.7358989583333363E-2</v>
      </c>
      <c r="AZ40" s="47">
        <f>IF(AZ39&gt;0,AZ39*Assumptions!$B$8,0)</f>
        <v>2.4204468750000086E-2</v>
      </c>
      <c r="BA40" s="47">
        <f>IF(BA39&gt;0,BA39*Assumptions!$B$8,0)</f>
        <v>3.1058781250000021E-2</v>
      </c>
      <c r="BB40" s="47">
        <f>IF(BB39&gt;0,BB39*Assumptions!$B$8,0)</f>
        <v>3.7921927083333327E-2</v>
      </c>
      <c r="BC40" s="47">
        <f>IF(BC39&gt;0,BC39*Assumptions!$B$8,0)</f>
        <v>4.4793906250000008E-2</v>
      </c>
      <c r="BD40" s="47">
        <f>IF(BD39&gt;0,BD39*Assumptions!$B$8,0)</f>
        <v>5.1674718750000063E-2</v>
      </c>
      <c r="BE40" s="47">
        <f>IF(BE39&gt;0,BE39*Assumptions!$B$8,0)</f>
        <v>5.8564364583333306E-2</v>
      </c>
      <c r="BF40" s="47">
        <f>IF(BF39&gt;0,BF39*Assumptions!$B$8,0)</f>
        <v>6.5462843749999999E-2</v>
      </c>
      <c r="BG40" s="47">
        <f>IF(BG39&gt;0,BG39*Assumptions!$B$8,0)</f>
        <v>7.2370156250000164E-2</v>
      </c>
      <c r="BH40" s="47">
        <f>IF(BH39&gt;0,BH39*Assumptions!$B$8,0)</f>
        <v>7.9286302083333343E-2</v>
      </c>
      <c r="BI40" s="48">
        <f>IF(BI39&gt;0,BI39*Assumptions!$B$8,0)</f>
        <v>8.621128124999998E-2</v>
      </c>
    </row>
    <row r="41" spans="1:61" ht="15">
      <c r="A41" s="36" t="s">
        <v>311</v>
      </c>
      <c r="B41" s="47">
        <f t="shared" ref="B41:AG41" si="34">B39-B40</f>
        <v>-0.79383385416666663</v>
      </c>
      <c r="C41" s="47">
        <f t="shared" si="34"/>
        <v>-0.8158578125</v>
      </c>
      <c r="D41" s="47">
        <f t="shared" si="34"/>
        <v>-0.83770520833333328</v>
      </c>
      <c r="E41" s="47">
        <f t="shared" si="34"/>
        <v>-0.8593760416666667</v>
      </c>
      <c r="F41" s="47">
        <f t="shared" si="34"/>
        <v>-0.88087031249999992</v>
      </c>
      <c r="G41" s="47">
        <f t="shared" si="34"/>
        <v>-0.90218802083333338</v>
      </c>
      <c r="H41" s="47">
        <f t="shared" si="34"/>
        <v>-0.92332916666666653</v>
      </c>
      <c r="I41" s="47">
        <f t="shared" si="34"/>
        <v>-0.94429374999999993</v>
      </c>
      <c r="J41" s="47">
        <f t="shared" si="34"/>
        <v>-0.96508177083333335</v>
      </c>
      <c r="K41" s="47">
        <f t="shared" si="34"/>
        <v>-0.98569322916666668</v>
      </c>
      <c r="L41" s="47">
        <f t="shared" si="34"/>
        <v>-1.006128125</v>
      </c>
      <c r="M41" s="47">
        <f t="shared" si="34"/>
        <v>-1.0263864583333333</v>
      </c>
      <c r="N41" s="47">
        <f t="shared" si="34"/>
        <v>-0.95857986458333277</v>
      </c>
      <c r="O41" s="47">
        <f t="shared" si="34"/>
        <v>-0.95671351736111088</v>
      </c>
      <c r="P41" s="47">
        <f t="shared" si="34"/>
        <v>-0.95442507291666656</v>
      </c>
      <c r="Q41" s="47">
        <f t="shared" si="34"/>
        <v>-0.95171453124999983</v>
      </c>
      <c r="R41" s="47">
        <f t="shared" si="34"/>
        <v>-0.94858189236111079</v>
      </c>
      <c r="S41" s="47">
        <f t="shared" si="34"/>
        <v>-0.94502715625</v>
      </c>
      <c r="T41" s="47">
        <f t="shared" si="34"/>
        <v>-0.94105032291666679</v>
      </c>
      <c r="U41" s="47">
        <f t="shared" si="34"/>
        <v>-0.93665139236111106</v>
      </c>
      <c r="V41" s="47">
        <f t="shared" si="34"/>
        <v>-0.93183036458333357</v>
      </c>
      <c r="W41" s="47">
        <f t="shared" si="34"/>
        <v>-0.92658723958333356</v>
      </c>
      <c r="X41" s="47">
        <f t="shared" si="34"/>
        <v>-0.92092201736111112</v>
      </c>
      <c r="Y41" s="47">
        <f t="shared" si="34"/>
        <v>-0.914010697916667</v>
      </c>
      <c r="Z41" s="47">
        <f t="shared" si="34"/>
        <v>-0.82222667824074125</v>
      </c>
      <c r="AA41" s="47">
        <f t="shared" si="34"/>
        <v>-0.72947072916666755</v>
      </c>
      <c r="AB41" s="47">
        <f t="shared" si="34"/>
        <v>-0.7080390625000007</v>
      </c>
      <c r="AC41" s="47">
        <f t="shared" si="34"/>
        <v>-0.68571653935185251</v>
      </c>
      <c r="AD41" s="47">
        <f t="shared" si="34"/>
        <v>-0.66416704861111153</v>
      </c>
      <c r="AE41" s="47">
        <f t="shared" si="34"/>
        <v>-0.6425572569444451</v>
      </c>
      <c r="AF41" s="47">
        <f t="shared" si="34"/>
        <v>-0.62088716435185265</v>
      </c>
      <c r="AG41" s="47">
        <f t="shared" si="34"/>
        <v>-0.59832621527777841</v>
      </c>
      <c r="AH41" s="47">
        <f t="shared" ref="AH41:BI41" si="35">AH39-AH40</f>
        <v>-0.57653829861111183</v>
      </c>
      <c r="AI41" s="47">
        <f t="shared" si="35"/>
        <v>-0.55469008101851947</v>
      </c>
      <c r="AJ41" s="47">
        <f t="shared" si="35"/>
        <v>-0.53278156250000053</v>
      </c>
      <c r="AK41" s="47">
        <f t="shared" si="35"/>
        <v>-0.50998218750000046</v>
      </c>
      <c r="AL41" s="47">
        <f t="shared" si="35"/>
        <v>-0.53752958333333412</v>
      </c>
      <c r="AM41" s="47">
        <f t="shared" si="35"/>
        <v>-0.39354513888888909</v>
      </c>
      <c r="AN41" s="47">
        <f t="shared" si="35"/>
        <v>-0.35187791666666729</v>
      </c>
      <c r="AO41" s="47">
        <f t="shared" si="35"/>
        <v>-0.31015291666666672</v>
      </c>
      <c r="AP41" s="47">
        <f t="shared" si="35"/>
        <v>-0.26837013888888883</v>
      </c>
      <c r="AQ41" s="47">
        <f t="shared" si="35"/>
        <v>-0.22652958333333373</v>
      </c>
      <c r="AR41" s="47">
        <f t="shared" si="35"/>
        <v>-0.18463125000000019</v>
      </c>
      <c r="AS41" s="47">
        <f t="shared" si="35"/>
        <v>-0.14267513888888878</v>
      </c>
      <c r="AT41" s="47">
        <f t="shared" si="35"/>
        <v>-0.10066125000000024</v>
      </c>
      <c r="AU41" s="47">
        <f t="shared" si="35"/>
        <v>-5.8589583333333375E-2</v>
      </c>
      <c r="AV41" s="47">
        <f t="shared" si="35"/>
        <v>-1.6460138888889198E-2</v>
      </c>
      <c r="AW41" s="47">
        <f t="shared" si="35"/>
        <v>2.1868020833333321E-2</v>
      </c>
      <c r="AX41" s="47">
        <f t="shared" si="35"/>
        <v>-3.1184374999999653E-2</v>
      </c>
      <c r="AY41" s="47">
        <f t="shared" si="35"/>
        <v>9.8367607638889062E-2</v>
      </c>
      <c r="AZ41" s="47">
        <f t="shared" si="35"/>
        <v>0.13715865625000048</v>
      </c>
      <c r="BA41" s="47">
        <f t="shared" si="35"/>
        <v>0.17599976041666679</v>
      </c>
      <c r="BB41" s="47">
        <f t="shared" si="35"/>
        <v>0.21489092013888886</v>
      </c>
      <c r="BC41" s="47">
        <f t="shared" si="35"/>
        <v>0.25383213541666672</v>
      </c>
      <c r="BD41" s="47">
        <f t="shared" si="35"/>
        <v>0.29282340625000036</v>
      </c>
      <c r="BE41" s="47">
        <f t="shared" si="35"/>
        <v>0.33186473263888877</v>
      </c>
      <c r="BF41" s="47">
        <f t="shared" si="35"/>
        <v>0.37095611458333333</v>
      </c>
      <c r="BG41" s="47">
        <f t="shared" si="35"/>
        <v>0.41009755208333426</v>
      </c>
      <c r="BH41" s="47">
        <f t="shared" si="35"/>
        <v>0.44928904513888901</v>
      </c>
      <c r="BI41" s="48">
        <f t="shared" si="35"/>
        <v>0.48853059374999985</v>
      </c>
    </row>
    <row r="42" spans="1:61" ht="15">
      <c r="A42" s="36" t="s">
        <v>312</v>
      </c>
      <c r="B42" s="47">
        <f>IF(B$3&gt;=Assumptions!$C$51,Assumptions!$B$51/1000000000,0)+IF(B$3&gt;=Assumptions!$C$52,Assumptions!$B$52/1000000000,0)+IF(B$3&gt;=Assumptions!$C$53,Assumptions!$B$53/1000000000,0)</f>
        <v>30</v>
      </c>
      <c r="C42" s="47">
        <f>IF(C$3&gt;=Assumptions!$C$51,Assumptions!$B$51/1000000000,0)+IF(C$3&gt;=Assumptions!$C$52,Assumptions!$B$52/1000000000,0)+IF(C$3&gt;=Assumptions!$C$53,Assumptions!$B$53/1000000000,0)</f>
        <v>30</v>
      </c>
      <c r="D42" s="47">
        <f>IF(D$3&gt;=Assumptions!$C$51,Assumptions!$B$51/1000000000,0)+IF(D$3&gt;=Assumptions!$C$52,Assumptions!$B$52/1000000000,0)+IF(D$3&gt;=Assumptions!$C$53,Assumptions!$B$53/1000000000,0)</f>
        <v>30</v>
      </c>
      <c r="E42" s="47">
        <f>IF(E$3&gt;=Assumptions!$C$51,Assumptions!$B$51/1000000000,0)+IF(E$3&gt;=Assumptions!$C$52,Assumptions!$B$52/1000000000,0)+IF(E$3&gt;=Assumptions!$C$53,Assumptions!$B$53/1000000000,0)</f>
        <v>30</v>
      </c>
      <c r="F42" s="47">
        <f>IF(F$3&gt;=Assumptions!$C$51,Assumptions!$B$51/1000000000,0)+IF(F$3&gt;=Assumptions!$C$52,Assumptions!$B$52/1000000000,0)+IF(F$3&gt;=Assumptions!$C$53,Assumptions!$B$53/1000000000,0)</f>
        <v>30</v>
      </c>
      <c r="G42" s="47">
        <f>IF(G$3&gt;=Assumptions!$C$51,Assumptions!$B$51/1000000000,0)+IF(G$3&gt;=Assumptions!$C$52,Assumptions!$B$52/1000000000,0)+IF(G$3&gt;=Assumptions!$C$53,Assumptions!$B$53/1000000000,0)</f>
        <v>30</v>
      </c>
      <c r="H42" s="47">
        <f>IF(H$3&gt;=Assumptions!$C$51,Assumptions!$B$51/1000000000,0)+IF(H$3&gt;=Assumptions!$C$52,Assumptions!$B$52/1000000000,0)+IF(H$3&gt;=Assumptions!$C$53,Assumptions!$B$53/1000000000,0)</f>
        <v>30</v>
      </c>
      <c r="I42" s="47">
        <f>IF(I$3&gt;=Assumptions!$C$51,Assumptions!$B$51/1000000000,0)+IF(I$3&gt;=Assumptions!$C$52,Assumptions!$B$52/1000000000,0)+IF(I$3&gt;=Assumptions!$C$53,Assumptions!$B$53/1000000000,0)</f>
        <v>30</v>
      </c>
      <c r="J42" s="47">
        <f>IF(J$3&gt;=Assumptions!$C$51,Assumptions!$B$51/1000000000,0)+IF(J$3&gt;=Assumptions!$C$52,Assumptions!$B$52/1000000000,0)+IF(J$3&gt;=Assumptions!$C$53,Assumptions!$B$53/1000000000,0)</f>
        <v>30</v>
      </c>
      <c r="K42" s="47">
        <f>IF(K$3&gt;=Assumptions!$C$51,Assumptions!$B$51/1000000000,0)+IF(K$3&gt;=Assumptions!$C$52,Assumptions!$B$52/1000000000,0)+IF(K$3&gt;=Assumptions!$C$53,Assumptions!$B$53/1000000000,0)</f>
        <v>30</v>
      </c>
      <c r="L42" s="47">
        <f>IF(L$3&gt;=Assumptions!$C$51,Assumptions!$B$51/1000000000,0)+IF(L$3&gt;=Assumptions!$C$52,Assumptions!$B$52/1000000000,0)+IF(L$3&gt;=Assumptions!$C$53,Assumptions!$B$53/1000000000,0)</f>
        <v>30</v>
      </c>
      <c r="M42" s="47">
        <f>IF(M$3&gt;=Assumptions!$C$51,Assumptions!$B$51/1000000000,0)+IF(M$3&gt;=Assumptions!$C$52,Assumptions!$B$52/1000000000,0)+IF(M$3&gt;=Assumptions!$C$53,Assumptions!$B$53/1000000000,0)</f>
        <v>30</v>
      </c>
      <c r="N42" s="47">
        <f>IF(N$3&gt;=Assumptions!$C$51,Assumptions!$B$51/1000000000,0)+IF(N$3&gt;=Assumptions!$C$52,Assumptions!$B$52/1000000000,0)+IF(N$3&gt;=Assumptions!$C$53,Assumptions!$B$53/1000000000,0)</f>
        <v>65</v>
      </c>
      <c r="O42" s="47">
        <f>IF(O$3&gt;=Assumptions!$C$51,Assumptions!$B$51/1000000000,0)+IF(O$3&gt;=Assumptions!$C$52,Assumptions!$B$52/1000000000,0)+IF(O$3&gt;=Assumptions!$C$53,Assumptions!$B$53/1000000000,0)</f>
        <v>65</v>
      </c>
      <c r="P42" s="47">
        <f>IF(P$3&gt;=Assumptions!$C$51,Assumptions!$B$51/1000000000,0)+IF(P$3&gt;=Assumptions!$C$52,Assumptions!$B$52/1000000000,0)+IF(P$3&gt;=Assumptions!$C$53,Assumptions!$B$53/1000000000,0)</f>
        <v>65</v>
      </c>
      <c r="Q42" s="47">
        <f>IF(Q$3&gt;=Assumptions!$C$51,Assumptions!$B$51/1000000000,0)+IF(Q$3&gt;=Assumptions!$C$52,Assumptions!$B$52/1000000000,0)+IF(Q$3&gt;=Assumptions!$C$53,Assumptions!$B$53/1000000000,0)</f>
        <v>65</v>
      </c>
      <c r="R42" s="47">
        <f>IF(R$3&gt;=Assumptions!$C$51,Assumptions!$B$51/1000000000,0)+IF(R$3&gt;=Assumptions!$C$52,Assumptions!$B$52/1000000000,0)+IF(R$3&gt;=Assumptions!$C$53,Assumptions!$B$53/1000000000,0)</f>
        <v>65</v>
      </c>
      <c r="S42" s="47">
        <f>IF(S$3&gt;=Assumptions!$C$51,Assumptions!$B$51/1000000000,0)+IF(S$3&gt;=Assumptions!$C$52,Assumptions!$B$52/1000000000,0)+IF(S$3&gt;=Assumptions!$C$53,Assumptions!$B$53/1000000000,0)</f>
        <v>65</v>
      </c>
      <c r="T42" s="47">
        <f>IF(T$3&gt;=Assumptions!$C$51,Assumptions!$B$51/1000000000,0)+IF(T$3&gt;=Assumptions!$C$52,Assumptions!$B$52/1000000000,0)+IF(T$3&gt;=Assumptions!$C$53,Assumptions!$B$53/1000000000,0)</f>
        <v>65</v>
      </c>
      <c r="U42" s="47">
        <f>IF(U$3&gt;=Assumptions!$C$51,Assumptions!$B$51/1000000000,0)+IF(U$3&gt;=Assumptions!$C$52,Assumptions!$B$52/1000000000,0)+IF(U$3&gt;=Assumptions!$C$53,Assumptions!$B$53/1000000000,0)</f>
        <v>65</v>
      </c>
      <c r="V42" s="47">
        <f>IF(V$3&gt;=Assumptions!$C$51,Assumptions!$B$51/1000000000,0)+IF(V$3&gt;=Assumptions!$C$52,Assumptions!$B$52/1000000000,0)+IF(V$3&gt;=Assumptions!$C$53,Assumptions!$B$53/1000000000,0)</f>
        <v>65</v>
      </c>
      <c r="W42" s="47">
        <f>IF(W$3&gt;=Assumptions!$C$51,Assumptions!$B$51/1000000000,0)+IF(W$3&gt;=Assumptions!$C$52,Assumptions!$B$52/1000000000,0)+IF(W$3&gt;=Assumptions!$C$53,Assumptions!$B$53/1000000000,0)</f>
        <v>65</v>
      </c>
      <c r="X42" s="47">
        <f>IF(X$3&gt;=Assumptions!$C$51,Assumptions!$B$51/1000000000,0)+IF(X$3&gt;=Assumptions!$C$52,Assumptions!$B$52/1000000000,0)+IF(X$3&gt;=Assumptions!$C$53,Assumptions!$B$53/1000000000,0)</f>
        <v>65</v>
      </c>
      <c r="Y42" s="47">
        <f>IF(Y$3&gt;=Assumptions!$C$51,Assumptions!$B$51/1000000000,0)+IF(Y$3&gt;=Assumptions!$C$52,Assumptions!$B$52/1000000000,0)+IF(Y$3&gt;=Assumptions!$C$53,Assumptions!$B$53/1000000000,0)</f>
        <v>65</v>
      </c>
      <c r="Z42" s="47">
        <f>IF(Z$3&gt;=Assumptions!$C$51,Assumptions!$B$51/1000000000,0)+IF(Z$3&gt;=Assumptions!$C$52,Assumptions!$B$52/1000000000,0)+IF(Z$3&gt;=Assumptions!$C$53,Assumptions!$B$53/1000000000,0)</f>
        <v>100</v>
      </c>
      <c r="AA42" s="47">
        <f>IF(AA$3&gt;=Assumptions!$C$51,Assumptions!$B$51/1000000000,0)+IF(AA$3&gt;=Assumptions!$C$52,Assumptions!$B$52/1000000000,0)+IF(AA$3&gt;=Assumptions!$C$53,Assumptions!$B$53/1000000000,0)</f>
        <v>100</v>
      </c>
      <c r="AB42" s="47">
        <f>IF(AB$3&gt;=Assumptions!$C$51,Assumptions!$B$51/1000000000,0)+IF(AB$3&gt;=Assumptions!$C$52,Assumptions!$B$52/1000000000,0)+IF(AB$3&gt;=Assumptions!$C$53,Assumptions!$B$53/1000000000,0)</f>
        <v>100</v>
      </c>
      <c r="AC42" s="47">
        <f>IF(AC$3&gt;=Assumptions!$C$51,Assumptions!$B$51/1000000000,0)+IF(AC$3&gt;=Assumptions!$C$52,Assumptions!$B$52/1000000000,0)+IF(AC$3&gt;=Assumptions!$C$53,Assumptions!$B$53/1000000000,0)</f>
        <v>100</v>
      </c>
      <c r="AD42" s="47">
        <f>IF(AD$3&gt;=Assumptions!$C$51,Assumptions!$B$51/1000000000,0)+IF(AD$3&gt;=Assumptions!$C$52,Assumptions!$B$52/1000000000,0)+IF(AD$3&gt;=Assumptions!$C$53,Assumptions!$B$53/1000000000,0)</f>
        <v>100</v>
      </c>
      <c r="AE42" s="47">
        <f>IF(AE$3&gt;=Assumptions!$C$51,Assumptions!$B$51/1000000000,0)+IF(AE$3&gt;=Assumptions!$C$52,Assumptions!$B$52/1000000000,0)+IF(AE$3&gt;=Assumptions!$C$53,Assumptions!$B$53/1000000000,0)</f>
        <v>100</v>
      </c>
      <c r="AF42" s="47">
        <f>IF(AF$3&gt;=Assumptions!$C$51,Assumptions!$B$51/1000000000,0)+IF(AF$3&gt;=Assumptions!$C$52,Assumptions!$B$52/1000000000,0)+IF(AF$3&gt;=Assumptions!$C$53,Assumptions!$B$53/1000000000,0)</f>
        <v>100</v>
      </c>
      <c r="AG42" s="47">
        <f>IF(AG$3&gt;=Assumptions!$C$51,Assumptions!$B$51/1000000000,0)+IF(AG$3&gt;=Assumptions!$C$52,Assumptions!$B$52/1000000000,0)+IF(AG$3&gt;=Assumptions!$C$53,Assumptions!$B$53/1000000000,0)</f>
        <v>100</v>
      </c>
      <c r="AH42" s="47">
        <f>IF(AH$3&gt;=Assumptions!$C$51,Assumptions!$B$51/1000000000,0)+IF(AH$3&gt;=Assumptions!$C$52,Assumptions!$B$52/1000000000,0)+IF(AH$3&gt;=Assumptions!$C$53,Assumptions!$B$53/1000000000,0)</f>
        <v>100</v>
      </c>
      <c r="AI42" s="47">
        <f>IF(AI$3&gt;=Assumptions!$C$51,Assumptions!$B$51/1000000000,0)+IF(AI$3&gt;=Assumptions!$C$52,Assumptions!$B$52/1000000000,0)+IF(AI$3&gt;=Assumptions!$C$53,Assumptions!$B$53/1000000000,0)</f>
        <v>100</v>
      </c>
      <c r="AJ42" s="47">
        <f>IF(AJ$3&gt;=Assumptions!$C$51,Assumptions!$B$51/1000000000,0)+IF(AJ$3&gt;=Assumptions!$C$52,Assumptions!$B$52/1000000000,0)+IF(AJ$3&gt;=Assumptions!$C$53,Assumptions!$B$53/1000000000,0)</f>
        <v>100</v>
      </c>
      <c r="AK42" s="47">
        <f>IF(AK$3&gt;=Assumptions!$C$51,Assumptions!$B$51/1000000000,0)+IF(AK$3&gt;=Assumptions!$C$52,Assumptions!$B$52/1000000000,0)+IF(AK$3&gt;=Assumptions!$C$53,Assumptions!$B$53/1000000000,0)</f>
        <v>100</v>
      </c>
      <c r="AL42" s="47">
        <f>IF(AL$3&gt;=Assumptions!$C$51,Assumptions!$B$51/1000000000,0)+IF(AL$3&gt;=Assumptions!$C$52,Assumptions!$B$52/1000000000,0)+IF(AL$3&gt;=Assumptions!$C$53,Assumptions!$B$53/1000000000,0)</f>
        <v>100</v>
      </c>
      <c r="AM42" s="47">
        <f>IF(AM$3&gt;=Assumptions!$C$51,Assumptions!$B$51/1000000000,0)+IF(AM$3&gt;=Assumptions!$C$52,Assumptions!$B$52/1000000000,0)+IF(AM$3&gt;=Assumptions!$C$53,Assumptions!$B$53/1000000000,0)</f>
        <v>100</v>
      </c>
      <c r="AN42" s="47">
        <f>IF(AN$3&gt;=Assumptions!$C$51,Assumptions!$B$51/1000000000,0)+IF(AN$3&gt;=Assumptions!$C$52,Assumptions!$B$52/1000000000,0)+IF(AN$3&gt;=Assumptions!$C$53,Assumptions!$B$53/1000000000,0)</f>
        <v>100</v>
      </c>
      <c r="AO42" s="47">
        <f>IF(AO$3&gt;=Assumptions!$C$51,Assumptions!$B$51/1000000000,0)+IF(AO$3&gt;=Assumptions!$C$52,Assumptions!$B$52/1000000000,0)+IF(AO$3&gt;=Assumptions!$C$53,Assumptions!$B$53/1000000000,0)</f>
        <v>100</v>
      </c>
      <c r="AP42" s="47">
        <f>IF(AP$3&gt;=Assumptions!$C$51,Assumptions!$B$51/1000000000,0)+IF(AP$3&gt;=Assumptions!$C$52,Assumptions!$B$52/1000000000,0)+IF(AP$3&gt;=Assumptions!$C$53,Assumptions!$B$53/1000000000,0)</f>
        <v>100</v>
      </c>
      <c r="AQ42" s="47">
        <f>IF(AQ$3&gt;=Assumptions!$C$51,Assumptions!$B$51/1000000000,0)+IF(AQ$3&gt;=Assumptions!$C$52,Assumptions!$B$52/1000000000,0)+IF(AQ$3&gt;=Assumptions!$C$53,Assumptions!$B$53/1000000000,0)</f>
        <v>100</v>
      </c>
      <c r="AR42" s="47">
        <f>IF(AR$3&gt;=Assumptions!$C$51,Assumptions!$B$51/1000000000,0)+IF(AR$3&gt;=Assumptions!$C$52,Assumptions!$B$52/1000000000,0)+IF(AR$3&gt;=Assumptions!$C$53,Assumptions!$B$53/1000000000,0)</f>
        <v>100</v>
      </c>
      <c r="AS42" s="47">
        <f>IF(AS$3&gt;=Assumptions!$C$51,Assumptions!$B$51/1000000000,0)+IF(AS$3&gt;=Assumptions!$C$52,Assumptions!$B$52/1000000000,0)+IF(AS$3&gt;=Assumptions!$C$53,Assumptions!$B$53/1000000000,0)</f>
        <v>100</v>
      </c>
      <c r="AT42" s="47">
        <f>IF(AT$3&gt;=Assumptions!$C$51,Assumptions!$B$51/1000000000,0)+IF(AT$3&gt;=Assumptions!$C$52,Assumptions!$B$52/1000000000,0)+IF(AT$3&gt;=Assumptions!$C$53,Assumptions!$B$53/1000000000,0)</f>
        <v>100</v>
      </c>
      <c r="AU42" s="47">
        <f>IF(AU$3&gt;=Assumptions!$C$51,Assumptions!$B$51/1000000000,0)+IF(AU$3&gt;=Assumptions!$C$52,Assumptions!$B$52/1000000000,0)+IF(AU$3&gt;=Assumptions!$C$53,Assumptions!$B$53/1000000000,0)</f>
        <v>100</v>
      </c>
      <c r="AV42" s="47">
        <f>IF(AV$3&gt;=Assumptions!$C$51,Assumptions!$B$51/1000000000,0)+IF(AV$3&gt;=Assumptions!$C$52,Assumptions!$B$52/1000000000,0)+IF(AV$3&gt;=Assumptions!$C$53,Assumptions!$B$53/1000000000,0)</f>
        <v>100</v>
      </c>
      <c r="AW42" s="47">
        <f>IF(AW$3&gt;=Assumptions!$C$51,Assumptions!$B$51/1000000000,0)+IF(AW$3&gt;=Assumptions!$C$52,Assumptions!$B$52/1000000000,0)+IF(AW$3&gt;=Assumptions!$C$53,Assumptions!$B$53/1000000000,0)</f>
        <v>100</v>
      </c>
      <c r="AX42" s="47">
        <f>IF(AX$3&gt;=Assumptions!$C$51,Assumptions!$B$51/1000000000,0)+IF(AX$3&gt;=Assumptions!$C$52,Assumptions!$B$52/1000000000,0)+IF(AX$3&gt;=Assumptions!$C$53,Assumptions!$B$53/1000000000,0)</f>
        <v>100</v>
      </c>
      <c r="AY42" s="47">
        <f>IF(AY$3&gt;=Assumptions!$C$51,Assumptions!$B$51/1000000000,0)+IF(AY$3&gt;=Assumptions!$C$52,Assumptions!$B$52/1000000000,0)+IF(AY$3&gt;=Assumptions!$C$53,Assumptions!$B$53/1000000000,0)</f>
        <v>100</v>
      </c>
      <c r="AZ42" s="47">
        <f>IF(AZ$3&gt;=Assumptions!$C$51,Assumptions!$B$51/1000000000,0)+IF(AZ$3&gt;=Assumptions!$C$52,Assumptions!$B$52/1000000000,0)+IF(AZ$3&gt;=Assumptions!$C$53,Assumptions!$B$53/1000000000,0)</f>
        <v>100</v>
      </c>
      <c r="BA42" s="47">
        <f>IF(BA$3&gt;=Assumptions!$C$51,Assumptions!$B$51/1000000000,0)+IF(BA$3&gt;=Assumptions!$C$52,Assumptions!$B$52/1000000000,0)+IF(BA$3&gt;=Assumptions!$C$53,Assumptions!$B$53/1000000000,0)</f>
        <v>100</v>
      </c>
      <c r="BB42" s="47">
        <f>IF(BB$3&gt;=Assumptions!$C$51,Assumptions!$B$51/1000000000,0)+IF(BB$3&gt;=Assumptions!$C$52,Assumptions!$B$52/1000000000,0)+IF(BB$3&gt;=Assumptions!$C$53,Assumptions!$B$53/1000000000,0)</f>
        <v>100</v>
      </c>
      <c r="BC42" s="47">
        <f>IF(BC$3&gt;=Assumptions!$C$51,Assumptions!$B$51/1000000000,0)+IF(BC$3&gt;=Assumptions!$C$52,Assumptions!$B$52/1000000000,0)+IF(BC$3&gt;=Assumptions!$C$53,Assumptions!$B$53/1000000000,0)</f>
        <v>100</v>
      </c>
      <c r="BD42" s="47">
        <f>IF(BD$3&gt;=Assumptions!$C$51,Assumptions!$B$51/1000000000,0)+IF(BD$3&gt;=Assumptions!$C$52,Assumptions!$B$52/1000000000,0)+IF(BD$3&gt;=Assumptions!$C$53,Assumptions!$B$53/1000000000,0)</f>
        <v>100</v>
      </c>
      <c r="BE42" s="47">
        <f>IF(BE$3&gt;=Assumptions!$C$51,Assumptions!$B$51/1000000000,0)+IF(BE$3&gt;=Assumptions!$C$52,Assumptions!$B$52/1000000000,0)+IF(BE$3&gt;=Assumptions!$C$53,Assumptions!$B$53/1000000000,0)</f>
        <v>100</v>
      </c>
      <c r="BF42" s="47">
        <f>IF(BF$3&gt;=Assumptions!$C$51,Assumptions!$B$51/1000000000,0)+IF(BF$3&gt;=Assumptions!$C$52,Assumptions!$B$52/1000000000,0)+IF(BF$3&gt;=Assumptions!$C$53,Assumptions!$B$53/1000000000,0)</f>
        <v>100</v>
      </c>
      <c r="BG42" s="47">
        <f>IF(BG$3&gt;=Assumptions!$C$51,Assumptions!$B$51/1000000000,0)+IF(BG$3&gt;=Assumptions!$C$52,Assumptions!$B$52/1000000000,0)+IF(BG$3&gt;=Assumptions!$C$53,Assumptions!$B$53/1000000000,0)</f>
        <v>100</v>
      </c>
      <c r="BH42" s="47">
        <f>IF(BH$3&gt;=Assumptions!$C$51,Assumptions!$B$51/1000000000,0)+IF(BH$3&gt;=Assumptions!$C$52,Assumptions!$B$52/1000000000,0)+IF(BH$3&gt;=Assumptions!$C$53,Assumptions!$B$53/1000000000,0)</f>
        <v>100</v>
      </c>
      <c r="BI42" s="48">
        <f>IF(BI$3&gt;=Assumptions!$C$51,Assumptions!$B$51/1000000000,0)+IF(BI$3&gt;=Assumptions!$C$52,Assumptions!$B$52/1000000000,0)+IF(BI$3&gt;=Assumptions!$C$53,Assumptions!$B$53/1000000000,0)</f>
        <v>100</v>
      </c>
    </row>
    <row r="43" spans="1:61" ht="15">
      <c r="A43" s="36" t="s">
        <v>313</v>
      </c>
      <c r="B43" s="47">
        <f>B41</f>
        <v>-0.79383385416666663</v>
      </c>
      <c r="C43" s="47">
        <f t="shared" ref="C43:AH43" si="36">B43+C41</f>
        <v>-1.6096916666666665</v>
      </c>
      <c r="D43" s="47">
        <f t="shared" si="36"/>
        <v>-2.4473968749999999</v>
      </c>
      <c r="E43" s="47">
        <f t="shared" si="36"/>
        <v>-3.3067729166666666</v>
      </c>
      <c r="F43" s="47">
        <f t="shared" si="36"/>
        <v>-4.1876432291666665</v>
      </c>
      <c r="G43" s="47">
        <f t="shared" si="36"/>
        <v>-5.0898312499999996</v>
      </c>
      <c r="H43" s="47">
        <f t="shared" si="36"/>
        <v>-6.0131604166666666</v>
      </c>
      <c r="I43" s="47">
        <f t="shared" si="36"/>
        <v>-6.9574541666666665</v>
      </c>
      <c r="J43" s="47">
        <f t="shared" si="36"/>
        <v>-7.9225359375000002</v>
      </c>
      <c r="K43" s="47">
        <f t="shared" si="36"/>
        <v>-8.9082291666666666</v>
      </c>
      <c r="L43" s="47">
        <f t="shared" si="36"/>
        <v>-9.9143572916666667</v>
      </c>
      <c r="M43" s="47">
        <f t="shared" si="36"/>
        <v>-10.940743749999999</v>
      </c>
      <c r="N43" s="47">
        <f t="shared" si="36"/>
        <v>-11.899323614583333</v>
      </c>
      <c r="O43" s="47">
        <f t="shared" si="36"/>
        <v>-12.856037131944444</v>
      </c>
      <c r="P43" s="47">
        <f t="shared" si="36"/>
        <v>-13.810462204861111</v>
      </c>
      <c r="Q43" s="47">
        <f t="shared" si="36"/>
        <v>-14.76217673611111</v>
      </c>
      <c r="R43" s="47">
        <f t="shared" si="36"/>
        <v>-15.71075862847222</v>
      </c>
      <c r="S43" s="47">
        <f t="shared" si="36"/>
        <v>-16.655785784722219</v>
      </c>
      <c r="T43" s="47">
        <f t="shared" si="36"/>
        <v>-17.596836107638886</v>
      </c>
      <c r="U43" s="47">
        <f t="shared" si="36"/>
        <v>-18.533487499999996</v>
      </c>
      <c r="V43" s="47">
        <f t="shared" si="36"/>
        <v>-19.46531786458333</v>
      </c>
      <c r="W43" s="47">
        <f t="shared" si="36"/>
        <v>-20.391905104166664</v>
      </c>
      <c r="X43" s="47">
        <f t="shared" si="36"/>
        <v>-21.312827121527775</v>
      </c>
      <c r="Y43" s="47">
        <f t="shared" si="36"/>
        <v>-22.226837819444441</v>
      </c>
      <c r="Z43" s="47">
        <f t="shared" si="36"/>
        <v>-23.049064497685183</v>
      </c>
      <c r="AA43" s="47">
        <f t="shared" si="36"/>
        <v>-23.778535226851851</v>
      </c>
      <c r="AB43" s="47">
        <f t="shared" si="36"/>
        <v>-24.48657428935185</v>
      </c>
      <c r="AC43" s="47">
        <f t="shared" si="36"/>
        <v>-25.172290828703701</v>
      </c>
      <c r="AD43" s="47">
        <f t="shared" si="36"/>
        <v>-25.836457877314814</v>
      </c>
      <c r="AE43" s="47">
        <f t="shared" si="36"/>
        <v>-26.47901513425926</v>
      </c>
      <c r="AF43" s="47">
        <f t="shared" si="36"/>
        <v>-27.099902298611113</v>
      </c>
      <c r="AG43" s="47">
        <f t="shared" si="36"/>
        <v>-27.698228513888893</v>
      </c>
      <c r="AH43" s="47">
        <f t="shared" si="36"/>
        <v>-28.274766812500005</v>
      </c>
      <c r="AI43" s="47">
        <f t="shared" ref="AI43:BI43" si="37">AH43+AI41</f>
        <v>-28.829456893518525</v>
      </c>
      <c r="AJ43" s="47">
        <f t="shared" si="37"/>
        <v>-29.362238456018527</v>
      </c>
      <c r="AK43" s="47">
        <f t="shared" si="37"/>
        <v>-29.872220643518528</v>
      </c>
      <c r="AL43" s="47">
        <f t="shared" si="37"/>
        <v>-30.409750226851862</v>
      </c>
      <c r="AM43" s="47">
        <f t="shared" si="37"/>
        <v>-30.803295365740752</v>
      </c>
      <c r="AN43" s="47">
        <f t="shared" si="37"/>
        <v>-31.155173282407418</v>
      </c>
      <c r="AO43" s="47">
        <f t="shared" si="37"/>
        <v>-31.465326199074084</v>
      </c>
      <c r="AP43" s="47">
        <f t="shared" si="37"/>
        <v>-31.733696337962975</v>
      </c>
      <c r="AQ43" s="47">
        <f t="shared" si="37"/>
        <v>-31.96022592129631</v>
      </c>
      <c r="AR43" s="47">
        <f t="shared" si="37"/>
        <v>-32.144857171296309</v>
      </c>
      <c r="AS43" s="47">
        <f t="shared" si="37"/>
        <v>-32.287532310185199</v>
      </c>
      <c r="AT43" s="47">
        <f t="shared" si="37"/>
        <v>-32.388193560185201</v>
      </c>
      <c r="AU43" s="47">
        <f t="shared" si="37"/>
        <v>-32.446783143518537</v>
      </c>
      <c r="AV43" s="47">
        <f t="shared" si="37"/>
        <v>-32.463243282407426</v>
      </c>
      <c r="AW43" s="47">
        <f t="shared" si="37"/>
        <v>-32.441375261574095</v>
      </c>
      <c r="AX43" s="47">
        <f t="shared" si="37"/>
        <v>-32.472559636574097</v>
      </c>
      <c r="AY43" s="47">
        <f t="shared" si="37"/>
        <v>-32.374192028935205</v>
      </c>
      <c r="AZ43" s="47">
        <f t="shared" si="37"/>
        <v>-32.237033372685204</v>
      </c>
      <c r="BA43" s="47">
        <f t="shared" si="37"/>
        <v>-32.061033612268538</v>
      </c>
      <c r="BB43" s="47">
        <f t="shared" si="37"/>
        <v>-31.84614269212965</v>
      </c>
      <c r="BC43" s="47">
        <f t="shared" si="37"/>
        <v>-31.592310556712984</v>
      </c>
      <c r="BD43" s="47">
        <f t="shared" si="37"/>
        <v>-31.299487150462983</v>
      </c>
      <c r="BE43" s="47">
        <f t="shared" si="37"/>
        <v>-30.967622417824096</v>
      </c>
      <c r="BF43" s="47">
        <f t="shared" si="37"/>
        <v>-30.596666303240763</v>
      </c>
      <c r="BG43" s="47">
        <f t="shared" si="37"/>
        <v>-30.186568751157427</v>
      </c>
      <c r="BH43" s="47">
        <f t="shared" si="37"/>
        <v>-29.737279706018537</v>
      </c>
      <c r="BI43" s="48">
        <f t="shared" si="37"/>
        <v>-29.248749112268538</v>
      </c>
    </row>
    <row r="44" spans="1:61" ht="15">
      <c r="A44" s="36" t="s">
        <v>314</v>
      </c>
      <c r="B44" s="47">
        <f t="shared" ref="B44:AG44" si="38">B42+B43</f>
        <v>29.206166145833333</v>
      </c>
      <c r="C44" s="47">
        <f t="shared" si="38"/>
        <v>28.390308333333333</v>
      </c>
      <c r="D44" s="47">
        <f t="shared" si="38"/>
        <v>27.552603125000001</v>
      </c>
      <c r="E44" s="47">
        <f t="shared" si="38"/>
        <v>26.693227083333333</v>
      </c>
      <c r="F44" s="47">
        <f t="shared" si="38"/>
        <v>25.812356770833333</v>
      </c>
      <c r="G44" s="47">
        <f t="shared" si="38"/>
        <v>24.91016875</v>
      </c>
      <c r="H44" s="47">
        <f t="shared" si="38"/>
        <v>23.986839583333335</v>
      </c>
      <c r="I44" s="47">
        <f t="shared" si="38"/>
        <v>23.042545833333335</v>
      </c>
      <c r="J44" s="47">
        <f t="shared" si="38"/>
        <v>22.077464062499999</v>
      </c>
      <c r="K44" s="47">
        <f t="shared" si="38"/>
        <v>21.091770833333335</v>
      </c>
      <c r="L44" s="47">
        <f t="shared" si="38"/>
        <v>20.085642708333332</v>
      </c>
      <c r="M44" s="47">
        <f t="shared" si="38"/>
        <v>19.059256250000001</v>
      </c>
      <c r="N44" s="47">
        <f t="shared" si="38"/>
        <v>53.100676385416669</v>
      </c>
      <c r="O44" s="47">
        <f t="shared" si="38"/>
        <v>52.143962868055553</v>
      </c>
      <c r="P44" s="47">
        <f t="shared" si="38"/>
        <v>51.189537795138889</v>
      </c>
      <c r="Q44" s="47">
        <f t="shared" si="38"/>
        <v>50.237823263888892</v>
      </c>
      <c r="R44" s="47">
        <f t="shared" si="38"/>
        <v>49.28924137152778</v>
      </c>
      <c r="S44" s="47">
        <f t="shared" si="38"/>
        <v>48.344214215277781</v>
      </c>
      <c r="T44" s="47">
        <f t="shared" si="38"/>
        <v>47.403163892361114</v>
      </c>
      <c r="U44" s="47">
        <f t="shared" si="38"/>
        <v>46.466512500000007</v>
      </c>
      <c r="V44" s="47">
        <f t="shared" si="38"/>
        <v>45.534682135416674</v>
      </c>
      <c r="W44" s="47">
        <f t="shared" si="38"/>
        <v>44.608094895833332</v>
      </c>
      <c r="X44" s="47">
        <f t="shared" si="38"/>
        <v>43.687172878472225</v>
      </c>
      <c r="Y44" s="47">
        <f t="shared" si="38"/>
        <v>42.773162180555559</v>
      </c>
      <c r="Z44" s="47">
        <f t="shared" si="38"/>
        <v>76.95093550231482</v>
      </c>
      <c r="AA44" s="47">
        <f t="shared" si="38"/>
        <v>76.221464773148142</v>
      </c>
      <c r="AB44" s="47">
        <f t="shared" si="38"/>
        <v>75.51342571064815</v>
      </c>
      <c r="AC44" s="47">
        <f t="shared" si="38"/>
        <v>74.827709171296306</v>
      </c>
      <c r="AD44" s="47">
        <f t="shared" si="38"/>
        <v>74.163542122685186</v>
      </c>
      <c r="AE44" s="47">
        <f t="shared" si="38"/>
        <v>73.520984865740743</v>
      </c>
      <c r="AF44" s="47">
        <f t="shared" si="38"/>
        <v>72.900097701388887</v>
      </c>
      <c r="AG44" s="47">
        <f t="shared" si="38"/>
        <v>72.301771486111107</v>
      </c>
      <c r="AH44" s="47">
        <f t="shared" ref="AH44:BI44" si="39">AH42+AH43</f>
        <v>71.725233187499995</v>
      </c>
      <c r="AI44" s="47">
        <f t="shared" si="39"/>
        <v>71.170543106481475</v>
      </c>
      <c r="AJ44" s="47">
        <f t="shared" si="39"/>
        <v>70.637761543981469</v>
      </c>
      <c r="AK44" s="47">
        <f t="shared" si="39"/>
        <v>70.127779356481469</v>
      </c>
      <c r="AL44" s="47">
        <f t="shared" si="39"/>
        <v>69.590249773148145</v>
      </c>
      <c r="AM44" s="47">
        <f t="shared" si="39"/>
        <v>69.196704634259248</v>
      </c>
      <c r="AN44" s="47">
        <f t="shared" si="39"/>
        <v>68.844826717592582</v>
      </c>
      <c r="AO44" s="47">
        <f t="shared" si="39"/>
        <v>68.534673800925916</v>
      </c>
      <c r="AP44" s="47">
        <f t="shared" si="39"/>
        <v>68.266303662037018</v>
      </c>
      <c r="AQ44" s="47">
        <f t="shared" si="39"/>
        <v>68.039774078703687</v>
      </c>
      <c r="AR44" s="47">
        <f t="shared" si="39"/>
        <v>67.855142828703691</v>
      </c>
      <c r="AS44" s="47">
        <f t="shared" si="39"/>
        <v>67.712467689814801</v>
      </c>
      <c r="AT44" s="47">
        <f t="shared" si="39"/>
        <v>67.611806439814799</v>
      </c>
      <c r="AU44" s="47">
        <f t="shared" si="39"/>
        <v>67.55321685648147</v>
      </c>
      <c r="AV44" s="47">
        <f t="shared" si="39"/>
        <v>67.536756717592567</v>
      </c>
      <c r="AW44" s="47">
        <f t="shared" si="39"/>
        <v>67.558624738425905</v>
      </c>
      <c r="AX44" s="47">
        <f t="shared" si="39"/>
        <v>67.52744036342591</v>
      </c>
      <c r="AY44" s="47">
        <f t="shared" si="39"/>
        <v>67.625807971064802</v>
      </c>
      <c r="AZ44" s="47">
        <f t="shared" si="39"/>
        <v>67.762966627314796</v>
      </c>
      <c r="BA44" s="47">
        <f t="shared" si="39"/>
        <v>67.938966387731455</v>
      </c>
      <c r="BB44" s="47">
        <f t="shared" si="39"/>
        <v>68.153857307870354</v>
      </c>
      <c r="BC44" s="47">
        <f t="shared" si="39"/>
        <v>68.407689443287012</v>
      </c>
      <c r="BD44" s="47">
        <f t="shared" si="39"/>
        <v>68.70051284953702</v>
      </c>
      <c r="BE44" s="47">
        <f t="shared" si="39"/>
        <v>69.032377582175911</v>
      </c>
      <c r="BF44" s="47">
        <f t="shared" si="39"/>
        <v>69.403333696759233</v>
      </c>
      <c r="BG44" s="47">
        <f t="shared" si="39"/>
        <v>69.813431248842576</v>
      </c>
      <c r="BH44" s="47">
        <f t="shared" si="39"/>
        <v>70.262720293981459</v>
      </c>
      <c r="BI44" s="48">
        <f t="shared" si="39"/>
        <v>70.751250887731459</v>
      </c>
    </row>
    <row r="45" spans="1:61" ht="15">
      <c r="A45" s="36" t="s">
        <v>315</v>
      </c>
      <c r="B45" s="47">
        <f t="shared" ref="B45:AG45" si="40">B44+B13-B16-B36</f>
        <v>30.42824947916667</v>
      </c>
      <c r="C45" s="47">
        <f t="shared" si="40"/>
        <v>30.881558333333338</v>
      </c>
      <c r="D45" s="47">
        <f t="shared" si="40"/>
        <v>31.360103125000002</v>
      </c>
      <c r="E45" s="47">
        <f t="shared" si="40"/>
        <v>31.864060416666664</v>
      </c>
      <c r="F45" s="47">
        <f t="shared" si="40"/>
        <v>32.39360677083333</v>
      </c>
      <c r="G45" s="47">
        <f t="shared" si="40"/>
        <v>32.948918749999997</v>
      </c>
      <c r="H45" s="47">
        <f t="shared" si="40"/>
        <v>33.530172916666665</v>
      </c>
      <c r="I45" s="47">
        <f t="shared" si="40"/>
        <v>34.137545833333334</v>
      </c>
      <c r="J45" s="47">
        <f t="shared" si="40"/>
        <v>34.771214062499993</v>
      </c>
      <c r="K45" s="47">
        <f t="shared" si="40"/>
        <v>35.431354166666665</v>
      </c>
      <c r="L45" s="47">
        <f t="shared" si="40"/>
        <v>36.118142708333323</v>
      </c>
      <c r="M45" s="47">
        <f t="shared" si="40"/>
        <v>36.831756250000005</v>
      </c>
      <c r="N45" s="47">
        <f t="shared" si="40"/>
        <v>78.239898607638906</v>
      </c>
      <c r="O45" s="47">
        <f t="shared" si="40"/>
        <v>78.618712868055553</v>
      </c>
      <c r="P45" s="47">
        <f t="shared" si="40"/>
        <v>78.968621128472222</v>
      </c>
      <c r="Q45" s="47">
        <f t="shared" si="40"/>
        <v>79.29004548611114</v>
      </c>
      <c r="R45" s="47">
        <f t="shared" si="40"/>
        <v>79.58340803819442</v>
      </c>
      <c r="S45" s="47">
        <f t="shared" si="40"/>
        <v>79.849130881944447</v>
      </c>
      <c r="T45" s="47">
        <f t="shared" si="40"/>
        <v>80.087636114583319</v>
      </c>
      <c r="U45" s="47">
        <f t="shared" si="40"/>
        <v>80.299345833333334</v>
      </c>
      <c r="V45" s="47">
        <f t="shared" si="40"/>
        <v>80.484682135416676</v>
      </c>
      <c r="W45" s="47">
        <f t="shared" si="40"/>
        <v>80.644067118055546</v>
      </c>
      <c r="X45" s="47">
        <f t="shared" si="40"/>
        <v>80.777922878472225</v>
      </c>
      <c r="Y45" s="47">
        <f t="shared" si="40"/>
        <v>80.926828847222225</v>
      </c>
      <c r="Z45" s="47">
        <f t="shared" si="40"/>
        <v>113.89324105787037</v>
      </c>
      <c r="AA45" s="47">
        <f t="shared" si="40"/>
        <v>115.95688143981479</v>
      </c>
      <c r="AB45" s="47">
        <f t="shared" si="40"/>
        <v>118.05642571064814</v>
      </c>
      <c r="AC45" s="47">
        <f t="shared" si="40"/>
        <v>120.23209806018518</v>
      </c>
      <c r="AD45" s="47">
        <f t="shared" si="40"/>
        <v>122.40379212268518</v>
      </c>
      <c r="AE45" s="47">
        <f t="shared" si="40"/>
        <v>124.61156819907404</v>
      </c>
      <c r="AF45" s="47">
        <f t="shared" si="40"/>
        <v>126.85548659027776</v>
      </c>
      <c r="AG45" s="47">
        <f t="shared" si="40"/>
        <v>129.1757714861111</v>
      </c>
      <c r="AH45" s="47">
        <f t="shared" ref="AH45:BI45" si="41">AH44+AH13-AH16-AH36</f>
        <v>131.49231652083333</v>
      </c>
      <c r="AI45" s="47">
        <f t="shared" si="41"/>
        <v>133.84518199537035</v>
      </c>
      <c r="AJ45" s="47">
        <f t="shared" si="41"/>
        <v>136.23442821064813</v>
      </c>
      <c r="AK45" s="47">
        <f t="shared" si="41"/>
        <v>138.70027935648147</v>
      </c>
      <c r="AL45" s="47">
        <f t="shared" si="41"/>
        <v>137.04274977314816</v>
      </c>
      <c r="AM45" s="47">
        <f t="shared" si="41"/>
        <v>140.44253796759259</v>
      </c>
      <c r="AN45" s="47">
        <f t="shared" si="41"/>
        <v>143.89732671759256</v>
      </c>
      <c r="AO45" s="47">
        <f t="shared" si="41"/>
        <v>147.40717380092593</v>
      </c>
      <c r="AP45" s="47">
        <f t="shared" si="41"/>
        <v>150.97213699537036</v>
      </c>
      <c r="AQ45" s="47">
        <f t="shared" si="41"/>
        <v>154.59227407870367</v>
      </c>
      <c r="AR45" s="47">
        <f t="shared" si="41"/>
        <v>158.26764282870374</v>
      </c>
      <c r="AS45" s="47">
        <f t="shared" si="41"/>
        <v>161.99830102314812</v>
      </c>
      <c r="AT45" s="47">
        <f t="shared" si="41"/>
        <v>165.78430643981483</v>
      </c>
      <c r="AU45" s="47">
        <f t="shared" si="41"/>
        <v>169.62571685648152</v>
      </c>
      <c r="AV45" s="47">
        <f t="shared" si="41"/>
        <v>173.52259005092591</v>
      </c>
      <c r="AW45" s="47">
        <f t="shared" si="41"/>
        <v>177.47112473842594</v>
      </c>
      <c r="AX45" s="47">
        <f t="shared" si="41"/>
        <v>182.40494036342594</v>
      </c>
      <c r="AY45" s="47">
        <f t="shared" si="41"/>
        <v>186.48164130439812</v>
      </c>
      <c r="AZ45" s="47">
        <f t="shared" si="41"/>
        <v>190.61046662731482</v>
      </c>
      <c r="BA45" s="47">
        <f t="shared" si="41"/>
        <v>194.79146638773148</v>
      </c>
      <c r="BB45" s="47">
        <f t="shared" si="41"/>
        <v>199.0246906412037</v>
      </c>
      <c r="BC45" s="47">
        <f t="shared" si="41"/>
        <v>203.31018944328707</v>
      </c>
      <c r="BD45" s="47">
        <f t="shared" si="41"/>
        <v>207.64801284953703</v>
      </c>
      <c r="BE45" s="47">
        <f t="shared" si="41"/>
        <v>212.0382109155093</v>
      </c>
      <c r="BF45" s="47">
        <f t="shared" si="41"/>
        <v>216.48083369675922</v>
      </c>
      <c r="BG45" s="47">
        <f t="shared" si="41"/>
        <v>220.97593124884258</v>
      </c>
      <c r="BH45" s="47">
        <f t="shared" si="41"/>
        <v>225.52355362731484</v>
      </c>
      <c r="BI45" s="48">
        <f t="shared" si="41"/>
        <v>230.12375088773143</v>
      </c>
    </row>
    <row r="46" spans="1:61" ht="15">
      <c r="A46" s="36" t="s">
        <v>316</v>
      </c>
      <c r="B46" s="47">
        <f t="shared" ref="B46:AG46" si="42">B45+B16+B36</f>
        <v>33.206166145833336</v>
      </c>
      <c r="C46" s="47">
        <f t="shared" si="42"/>
        <v>36.390308333333337</v>
      </c>
      <c r="D46" s="47">
        <f t="shared" si="42"/>
        <v>39.552603125000005</v>
      </c>
      <c r="E46" s="47">
        <f t="shared" si="42"/>
        <v>42.693227083333333</v>
      </c>
      <c r="F46" s="47">
        <f t="shared" si="42"/>
        <v>45.812356770833333</v>
      </c>
      <c r="G46" s="47">
        <f t="shared" si="42"/>
        <v>48.910168749999997</v>
      </c>
      <c r="H46" s="47">
        <f t="shared" si="42"/>
        <v>51.986839583333335</v>
      </c>
      <c r="I46" s="47">
        <f t="shared" si="42"/>
        <v>55.042545833333335</v>
      </c>
      <c r="J46" s="47">
        <f t="shared" si="42"/>
        <v>58.077464062499999</v>
      </c>
      <c r="K46" s="47">
        <f t="shared" si="42"/>
        <v>61.091770833333335</v>
      </c>
      <c r="L46" s="47">
        <f t="shared" si="42"/>
        <v>64.085642708333324</v>
      </c>
      <c r="M46" s="47">
        <f t="shared" si="42"/>
        <v>67.059256250000004</v>
      </c>
      <c r="N46" s="47">
        <f t="shared" si="42"/>
        <v>109.72567638541668</v>
      </c>
      <c r="O46" s="47">
        <f t="shared" si="42"/>
        <v>111.39396286805555</v>
      </c>
      <c r="P46" s="47">
        <f t="shared" si="42"/>
        <v>113.06453779513889</v>
      </c>
      <c r="Q46" s="47">
        <f t="shared" si="42"/>
        <v>114.73782326388891</v>
      </c>
      <c r="R46" s="47">
        <f t="shared" si="42"/>
        <v>116.41424137152777</v>
      </c>
      <c r="S46" s="47">
        <f t="shared" si="42"/>
        <v>118.09421421527779</v>
      </c>
      <c r="T46" s="47">
        <f t="shared" si="42"/>
        <v>119.77816389236111</v>
      </c>
      <c r="U46" s="47">
        <f t="shared" si="42"/>
        <v>121.46651250000001</v>
      </c>
      <c r="V46" s="47">
        <f t="shared" si="42"/>
        <v>123.15968213541669</v>
      </c>
      <c r="W46" s="47">
        <f t="shared" si="42"/>
        <v>124.85809489583335</v>
      </c>
      <c r="X46" s="47">
        <f t="shared" si="42"/>
        <v>126.56217287847224</v>
      </c>
      <c r="Y46" s="47">
        <f t="shared" si="42"/>
        <v>128.27316218055557</v>
      </c>
      <c r="Z46" s="47">
        <f t="shared" si="42"/>
        <v>175.70093550231482</v>
      </c>
      <c r="AA46" s="47">
        <f t="shared" si="42"/>
        <v>178.72146477314814</v>
      </c>
      <c r="AB46" s="47">
        <f t="shared" si="42"/>
        <v>181.76342571064816</v>
      </c>
      <c r="AC46" s="47">
        <f t="shared" si="42"/>
        <v>184.82770917129631</v>
      </c>
      <c r="AD46" s="47">
        <f t="shared" si="42"/>
        <v>187.91354212268516</v>
      </c>
      <c r="AE46" s="47">
        <f t="shared" si="42"/>
        <v>191.02098486574073</v>
      </c>
      <c r="AF46" s="47">
        <f t="shared" si="42"/>
        <v>194.15009770138889</v>
      </c>
      <c r="AG46" s="47">
        <f t="shared" si="42"/>
        <v>197.30177148611111</v>
      </c>
      <c r="AH46" s="47">
        <f t="shared" ref="AH46:BI46" si="43">AH45+AH16+AH36</f>
        <v>200.47523318750001</v>
      </c>
      <c r="AI46" s="47">
        <f t="shared" si="43"/>
        <v>203.67054310648149</v>
      </c>
      <c r="AJ46" s="47">
        <f t="shared" si="43"/>
        <v>206.88776154398147</v>
      </c>
      <c r="AK46" s="47">
        <f t="shared" si="43"/>
        <v>210.12777935648148</v>
      </c>
      <c r="AL46" s="47">
        <f t="shared" si="43"/>
        <v>229.09024977314814</v>
      </c>
      <c r="AM46" s="47">
        <f t="shared" si="43"/>
        <v>234.19670463425925</v>
      </c>
      <c r="AN46" s="47">
        <f t="shared" si="43"/>
        <v>239.34482671759255</v>
      </c>
      <c r="AO46" s="47">
        <f t="shared" si="43"/>
        <v>244.53467380092593</v>
      </c>
      <c r="AP46" s="47">
        <f t="shared" si="43"/>
        <v>249.76630366203705</v>
      </c>
      <c r="AQ46" s="47">
        <f t="shared" si="43"/>
        <v>255.03977407870366</v>
      </c>
      <c r="AR46" s="47">
        <f t="shared" si="43"/>
        <v>260.35514282870372</v>
      </c>
      <c r="AS46" s="47">
        <f t="shared" si="43"/>
        <v>265.71246768981473</v>
      </c>
      <c r="AT46" s="47">
        <f t="shared" si="43"/>
        <v>271.11180643981481</v>
      </c>
      <c r="AU46" s="47">
        <f t="shared" si="43"/>
        <v>276.55321685648147</v>
      </c>
      <c r="AV46" s="47">
        <f t="shared" si="43"/>
        <v>282.03675671759254</v>
      </c>
      <c r="AW46" s="47">
        <f t="shared" si="43"/>
        <v>287.55862473842592</v>
      </c>
      <c r="AX46" s="47">
        <f t="shared" si="43"/>
        <v>313.52744036342591</v>
      </c>
      <c r="AY46" s="47">
        <f t="shared" si="43"/>
        <v>319.62580797106477</v>
      </c>
      <c r="AZ46" s="47">
        <f t="shared" si="43"/>
        <v>325.76296662731482</v>
      </c>
      <c r="BA46" s="47">
        <f t="shared" si="43"/>
        <v>331.93896638773145</v>
      </c>
      <c r="BB46" s="47">
        <f t="shared" si="43"/>
        <v>338.15385730787034</v>
      </c>
      <c r="BC46" s="47">
        <f t="shared" si="43"/>
        <v>344.40768944328704</v>
      </c>
      <c r="BD46" s="47">
        <f t="shared" si="43"/>
        <v>350.70051284953695</v>
      </c>
      <c r="BE46" s="47">
        <f t="shared" si="43"/>
        <v>357.03237758217591</v>
      </c>
      <c r="BF46" s="47">
        <f t="shared" si="43"/>
        <v>363.4033336967592</v>
      </c>
      <c r="BG46" s="47">
        <f t="shared" si="43"/>
        <v>369.81343124884256</v>
      </c>
      <c r="BH46" s="47">
        <f t="shared" si="43"/>
        <v>376.26272029398149</v>
      </c>
      <c r="BI46" s="48">
        <f t="shared" si="43"/>
        <v>382.75125088773143</v>
      </c>
    </row>
    <row r="47" spans="1:61" ht="15">
      <c r="A47" s="36" t="s">
        <v>317</v>
      </c>
      <c r="B47" s="47">
        <f>B16*Assumptions!$B$19+B36*Assumptions!$B$20+(B27+B28+B29)*12*0.15</f>
        <v>4.3774566666666672</v>
      </c>
      <c r="C47" s="47">
        <f>C16*Assumptions!$B$19+C36*Assumptions!$B$20+(C27+C28+C29)*12*0.15</f>
        <v>7.1163900000000009</v>
      </c>
      <c r="D47" s="47">
        <f>D16*Assumptions!$B$19+D36*Assumptions!$B$20+(D27+D28+D29)*12*0.15</f>
        <v>9.8082400000000032</v>
      </c>
      <c r="E47" s="47">
        <f>E16*Assumptions!$B$19+E36*Assumptions!$B$20+(E27+E28+E29)*12*0.15</f>
        <v>12.453006666666669</v>
      </c>
      <c r="F47" s="47">
        <f>F16*Assumptions!$B$19+F36*Assumptions!$B$20+(F27+F28+F29)*12*0.15</f>
        <v>15.050690000000001</v>
      </c>
      <c r="G47" s="47">
        <f>G16*Assumptions!$B$19+G36*Assumptions!$B$20+(G27+G28+G29)*12*0.15</f>
        <v>17.601290000000002</v>
      </c>
      <c r="H47" s="47">
        <f>H16*Assumptions!$B$19+H36*Assumptions!$B$20+(H27+H28+H29)*12*0.15</f>
        <v>20.104806666666672</v>
      </c>
      <c r="I47" s="47">
        <f>I16*Assumptions!$B$19+I36*Assumptions!$B$20+(I27+I28+I29)*12*0.15</f>
        <v>22.561240000000005</v>
      </c>
      <c r="J47" s="47">
        <f>J16*Assumptions!$B$19+J36*Assumptions!$B$20+(J27+J28+J29)*12*0.15</f>
        <v>24.970590000000005</v>
      </c>
      <c r="K47" s="47">
        <f>K16*Assumptions!$B$19+K36*Assumptions!$B$20+(K27+K28+K29)*12*0.15</f>
        <v>27.332856666666672</v>
      </c>
      <c r="L47" s="47">
        <f>L16*Assumptions!$B$19+L36*Assumptions!$B$20+(L27+L28+L29)*12*0.15</f>
        <v>29.648040000000002</v>
      </c>
      <c r="M47" s="47">
        <f>M16*Assumptions!$B$19+M36*Assumptions!$B$20+(M27+M28+M29)*12*0.15</f>
        <v>31.916139999999999</v>
      </c>
      <c r="N47" s="47">
        <f>N16*Assumptions!$B$19+N36*Assumptions!$B$20+(N27+N28+N29)*12*0.15</f>
        <v>33.228867777777779</v>
      </c>
      <c r="O47" s="47">
        <f>O16*Assumptions!$B$19+O36*Assumptions!$B$20+(O27+O28+O29)*12*0.15</f>
        <v>34.368639999999999</v>
      </c>
      <c r="P47" s="47">
        <f>P16*Assumptions!$B$19+P36*Assumptions!$B$20+(P27+P28+P29)*12*0.15</f>
        <v>35.526481666666662</v>
      </c>
      <c r="Q47" s="47">
        <f>Q16*Assumptions!$B$19+Q36*Assumptions!$B$20+(Q27+Q28+Q29)*12*0.15</f>
        <v>36.702392777777774</v>
      </c>
      <c r="R47" s="47">
        <f>R16*Assumptions!$B$19+R36*Assumptions!$B$20+(R27+R28+R29)*12*0.15</f>
        <v>37.896373333333329</v>
      </c>
      <c r="S47" s="47">
        <f>S16*Assumptions!$B$19+S36*Assumptions!$B$20+(S27+S28+S29)*12*0.15</f>
        <v>39.108423333333342</v>
      </c>
      <c r="T47" s="47">
        <f>T16*Assumptions!$B$19+T36*Assumptions!$B$20+(T27+T28+T29)*12*0.15</f>
        <v>40.338542777777782</v>
      </c>
      <c r="U47" s="47">
        <f>U16*Assumptions!$B$19+U36*Assumptions!$B$20+(U27+U28+U29)*12*0.15</f>
        <v>41.586731666666672</v>
      </c>
      <c r="V47" s="47">
        <f>V16*Assumptions!$B$19+V36*Assumptions!$B$20+(V27+V28+V29)*12*0.15</f>
        <v>42.852990000000005</v>
      </c>
      <c r="W47" s="47">
        <f>W16*Assumptions!$B$19+W36*Assumptions!$B$20+(W27+W28+W29)*12*0.15</f>
        <v>44.137317777777788</v>
      </c>
      <c r="X47" s="47">
        <f>X16*Assumptions!$B$19+X36*Assumptions!$B$20+(X27+X28+X29)*12*0.15</f>
        <v>45.439715000000014</v>
      </c>
      <c r="Y47" s="47">
        <f>Y16*Assumptions!$B$19+Y36*Assumptions!$B$20+(Y27+Y28+Y29)*12*0.15</f>
        <v>46.72084833333335</v>
      </c>
      <c r="Z47" s="47">
        <f>Z16*Assumptions!$B$19+Z36*Assumptions!$B$20+(Z27+Z28+Z29)*12*0.15</f>
        <v>57.82851944444446</v>
      </c>
      <c r="AA47" s="47">
        <f>AA16*Assumptions!$B$19+AA36*Assumptions!$B$20+(AA27+AA28+AA29)*12*0.15</f>
        <v>58.557783333333347</v>
      </c>
      <c r="AB47" s="47">
        <f>AB16*Assumptions!$B$19+AB36*Assumptions!$B$20+(AB27+AB28+AB29)*12*0.15</f>
        <v>59.272575000000018</v>
      </c>
      <c r="AC47" s="47">
        <f>AC16*Assumptions!$B$19+AC36*Assumptions!$B$20+(AC27+AC28+AC29)*12*0.15</f>
        <v>59.933561111111125</v>
      </c>
      <c r="AD47" s="47">
        <f>AD16*Assumptions!$B$19+AD36*Assumptions!$B$20+(AD27+AD28+AD29)*12*0.15</f>
        <v>60.620075000000014</v>
      </c>
      <c r="AE47" s="47">
        <f>AE16*Assumptions!$B$19+AE36*Assumptions!$B$20+(AE27+AE28+AE29)*12*0.15</f>
        <v>61.292116666666679</v>
      </c>
      <c r="AF47" s="47">
        <f>AF16*Assumptions!$B$19+AF36*Assumptions!$B$20+(AF27+AF28+AF29)*12*0.15</f>
        <v>61.949686111111127</v>
      </c>
      <c r="AG47" s="47">
        <f>AG16*Assumptions!$B$19+AG36*Assumptions!$B$20+(AG27+AG28+AG29)*12*0.15</f>
        <v>62.553450000000012</v>
      </c>
      <c r="AH47" s="47">
        <f>AH16*Assumptions!$B$19+AH36*Assumptions!$B$20+(AH27+AH28+AH29)*12*0.15</f>
        <v>63.182741666666672</v>
      </c>
      <c r="AI47" s="47">
        <f>AI16*Assumptions!$B$19+AI36*Assumptions!$B$20+(AI27+AI28+AI29)*12*0.15</f>
        <v>63.797561111111122</v>
      </c>
      <c r="AJ47" s="47">
        <f>AJ16*Assumptions!$B$19+AJ36*Assumptions!$B$20+(AJ27+AJ28+AJ29)*12*0.15</f>
        <v>64.397908333333348</v>
      </c>
      <c r="AK47" s="47">
        <f>AK16*Assumptions!$B$19+AK36*Assumptions!$B$20+(AK27+AK28+AK29)*12*0.15</f>
        <v>64.944450000000003</v>
      </c>
      <c r="AL47" s="47">
        <f>AL16*Assumptions!$B$19+AL36*Assumptions!$B$20+(AL27+AL28+AL29)*12*0.15</f>
        <v>80.636899999999997</v>
      </c>
      <c r="AM47" s="47">
        <f>AM16*Assumptions!$B$19+AM36*Assumptions!$B$20+(AM27+AM28+AM29)*12*0.15</f>
        <v>81.871766666666659</v>
      </c>
      <c r="AN47" s="47">
        <f>AN16*Assumptions!$B$19+AN36*Assumptions!$B$20+(AN27+AN28+AN29)*12*0.15</f>
        <v>83.093299999999999</v>
      </c>
      <c r="AO47" s="47">
        <f>AO16*Assumptions!$B$19+AO36*Assumptions!$B$20+(AO27+AO28+AO29)*12*0.15</f>
        <v>84.30149999999999</v>
      </c>
      <c r="AP47" s="47">
        <f>AP16*Assumptions!$B$19+AP36*Assumptions!$B$20+(AP27+AP28+AP29)*12*0.15</f>
        <v>85.49636666666666</v>
      </c>
      <c r="AQ47" s="47">
        <f>AQ16*Assumptions!$B$19+AQ36*Assumptions!$B$20+(AQ27+AQ28+AQ29)*12*0.15</f>
        <v>86.677900000000008</v>
      </c>
      <c r="AR47" s="47">
        <f>AR16*Assumptions!$B$19+AR36*Assumptions!$B$20+(AR27+AR28+AR29)*12*0.15</f>
        <v>87.846099999999993</v>
      </c>
      <c r="AS47" s="47">
        <f>AS16*Assumptions!$B$19+AS36*Assumptions!$B$20+(AS27+AS28+AS29)*12*0.15</f>
        <v>89.000966666666656</v>
      </c>
      <c r="AT47" s="47">
        <f>AT16*Assumptions!$B$19+AT36*Assumptions!$B$20+(AT27+AT28+AT29)*12*0.15</f>
        <v>90.142499999999984</v>
      </c>
      <c r="AU47" s="47">
        <f>AU16*Assumptions!$B$19+AU36*Assumptions!$B$20+(AU27+AU28+AU29)*12*0.15</f>
        <v>91.270699999999991</v>
      </c>
      <c r="AV47" s="47">
        <f>AV16*Assumptions!$B$19+AV36*Assumptions!$B$20+(AV27+AV28+AV29)*12*0.15</f>
        <v>92.385566666666648</v>
      </c>
      <c r="AW47" s="47">
        <f>AW16*Assumptions!$B$19+AW36*Assumptions!$B$20+(AW27+AW28+AW29)*12*0.15</f>
        <v>93.487099999999984</v>
      </c>
      <c r="AX47" s="47">
        <f>AX16*Assumptions!$B$19+AX36*Assumptions!$B$20+(AX27+AX28+AX29)*12*0.15</f>
        <v>109.44125999999999</v>
      </c>
      <c r="AY47" s="47">
        <f>AY16*Assumptions!$B$19+AY36*Assumptions!$B$20+(AY27+AY28+AY29)*12*0.15</f>
        <v>110.87282666666664</v>
      </c>
      <c r="AZ47" s="47">
        <f>AZ16*Assumptions!$B$19+AZ36*Assumptions!$B$20+(AZ27+AZ28+AZ29)*12*0.15</f>
        <v>112.29105999999997</v>
      </c>
      <c r="BA47" s="47">
        <f>BA16*Assumptions!$B$19+BA36*Assumptions!$B$20+(BA27+BA28+BA29)*12*0.15</f>
        <v>113.69595999999997</v>
      </c>
      <c r="BB47" s="47">
        <f>BB16*Assumptions!$B$19+BB36*Assumptions!$B$20+(BB27+BB28+BB29)*12*0.15</f>
        <v>115.08752666666663</v>
      </c>
      <c r="BC47" s="47">
        <f>BC16*Assumptions!$B$19+BC36*Assumptions!$B$20+(BC27+BC28+BC29)*12*0.15</f>
        <v>116.46575999999997</v>
      </c>
      <c r="BD47" s="47">
        <f>BD16*Assumptions!$B$19+BD36*Assumptions!$B$20+(BD27+BD28+BD29)*12*0.15</f>
        <v>117.83065999999998</v>
      </c>
      <c r="BE47" s="47">
        <f>BE16*Assumptions!$B$19+BE36*Assumptions!$B$20+(BE27+BE28+BE29)*12*0.15</f>
        <v>119.18222666666665</v>
      </c>
      <c r="BF47" s="47">
        <f>BF16*Assumptions!$B$19+BF36*Assumptions!$B$20+(BF27+BF28+BF29)*12*0.15</f>
        <v>120.52045999999999</v>
      </c>
      <c r="BG47" s="47">
        <f>BG16*Assumptions!$B$19+BG36*Assumptions!$B$20+(BG27+BG28+BG29)*12*0.15</f>
        <v>121.84535999999997</v>
      </c>
      <c r="BH47" s="47">
        <f>BH16*Assumptions!$B$19+BH36*Assumptions!$B$20+(BH27+BH28+BH29)*12*0.15</f>
        <v>123.15692666666665</v>
      </c>
      <c r="BI47" s="48">
        <f>BI16*Assumptions!$B$19+BI36*Assumptions!$B$20+(BI27+BI28+BI29)*12*0.15</f>
        <v>124.45515999999998</v>
      </c>
    </row>
    <row r="48" spans="1:61" ht="15">
      <c r="A48" s="36" t="s">
        <v>318</v>
      </c>
      <c r="B48" s="39">
        <f t="shared" ref="B48:AG48" si="44">IF(B47&gt;0,B44/B47,0)</f>
        <v>6.6719486610185355</v>
      </c>
      <c r="C48" s="39">
        <f t="shared" si="44"/>
        <v>3.989425584226459</v>
      </c>
      <c r="D48" s="39">
        <f t="shared" si="44"/>
        <v>2.8091281539807338</v>
      </c>
      <c r="E48" s="39">
        <f t="shared" si="44"/>
        <v>2.1435166460469248</v>
      </c>
      <c r="F48" s="39">
        <f t="shared" si="44"/>
        <v>1.715028132984822</v>
      </c>
      <c r="G48" s="39">
        <f t="shared" si="44"/>
        <v>1.4152467660040824</v>
      </c>
      <c r="H48" s="39">
        <f t="shared" si="44"/>
        <v>1.1930897909654108</v>
      </c>
      <c r="I48" s="39">
        <f t="shared" si="44"/>
        <v>1.0213333058525742</v>
      </c>
      <c r="J48" s="39">
        <f t="shared" si="44"/>
        <v>0.88413866322341583</v>
      </c>
      <c r="K48" s="39">
        <f t="shared" si="44"/>
        <v>0.77166360949953139</v>
      </c>
      <c r="L48" s="39">
        <f t="shared" si="44"/>
        <v>0.67746949573507487</v>
      </c>
      <c r="M48" s="39">
        <f t="shared" si="44"/>
        <v>0.59716670781617076</v>
      </c>
      <c r="N48" s="39">
        <f t="shared" si="44"/>
        <v>1.5980284594869167</v>
      </c>
      <c r="O48" s="39">
        <f t="shared" si="44"/>
        <v>1.5171959922782965</v>
      </c>
      <c r="P48" s="39">
        <f t="shared" si="44"/>
        <v>1.4408839658098866</v>
      </c>
      <c r="Q48" s="39">
        <f t="shared" si="44"/>
        <v>1.3687887753821442</v>
      </c>
      <c r="R48" s="39">
        <f t="shared" si="44"/>
        <v>1.3006321459307923</v>
      </c>
      <c r="S48" s="39">
        <f t="shared" si="44"/>
        <v>1.2361586096996267</v>
      </c>
      <c r="T48" s="39">
        <f t="shared" si="44"/>
        <v>1.1751332752276609</v>
      </c>
      <c r="U48" s="39">
        <f t="shared" si="44"/>
        <v>1.1173398494607996</v>
      </c>
      <c r="V48" s="39">
        <f t="shared" si="44"/>
        <v>1.062578880386565</v>
      </c>
      <c r="W48" s="39">
        <f t="shared" si="44"/>
        <v>1.0106661922780584</v>
      </c>
      <c r="X48" s="39">
        <f t="shared" si="44"/>
        <v>0.96143148957849345</v>
      </c>
      <c r="Y48" s="39">
        <f t="shared" si="44"/>
        <v>0.91550482721091164</v>
      </c>
      <c r="Z48" s="39">
        <f t="shared" si="44"/>
        <v>1.3306744879789143</v>
      </c>
      <c r="AA48" s="39">
        <f t="shared" si="44"/>
        <v>1.3016453225229916</v>
      </c>
      <c r="AB48" s="39">
        <f t="shared" si="44"/>
        <v>1.2740027864598109</v>
      </c>
      <c r="AC48" s="39">
        <f t="shared" si="44"/>
        <v>1.2485109808938741</v>
      </c>
      <c r="AD48" s="39">
        <f t="shared" si="44"/>
        <v>1.2234155454721092</v>
      </c>
      <c r="AE48" s="39">
        <f t="shared" si="44"/>
        <v>1.19951779876652</v>
      </c>
      <c r="AF48" s="39">
        <f t="shared" si="44"/>
        <v>1.1767629874772476</v>
      </c>
      <c r="AG48" s="39">
        <f t="shared" si="44"/>
        <v>1.1558398695213628</v>
      </c>
      <c r="AH48" s="39">
        <f t="shared" ref="AH48:BI48" si="45">IF(AH47&gt;0,AH44/AH47,0)</f>
        <v>1.1352029256011231</v>
      </c>
      <c r="AI48" s="39">
        <f t="shared" si="45"/>
        <v>1.1155683989632366</v>
      </c>
      <c r="AJ48" s="39">
        <f t="shared" si="45"/>
        <v>1.0968952776905376</v>
      </c>
      <c r="AK48" s="39">
        <f t="shared" si="45"/>
        <v>1.0798117368994804</v>
      </c>
      <c r="AL48" s="39">
        <f t="shared" si="45"/>
        <v>0.86300750367571355</v>
      </c>
      <c r="AM48" s="39">
        <f t="shared" si="45"/>
        <v>0.84518396819244468</v>
      </c>
      <c r="AN48" s="39">
        <f t="shared" si="45"/>
        <v>0.82852440229949442</v>
      </c>
      <c r="AO48" s="39">
        <f t="shared" si="45"/>
        <v>0.81297098866480344</v>
      </c>
      <c r="AP48" s="39">
        <f t="shared" si="45"/>
        <v>0.79847023123443095</v>
      </c>
      <c r="AQ48" s="39">
        <f t="shared" si="45"/>
        <v>0.78497257177093216</v>
      </c>
      <c r="AR48" s="39">
        <f t="shared" si="45"/>
        <v>0.77243204682625288</v>
      </c>
      <c r="AS48" s="39">
        <f t="shared" si="45"/>
        <v>0.76080598027004365</v>
      </c>
      <c r="AT48" s="39">
        <f t="shared" si="45"/>
        <v>0.75005470715605638</v>
      </c>
      <c r="AU48" s="39">
        <f t="shared" si="45"/>
        <v>0.7401413252717628</v>
      </c>
      <c r="AV48" s="39">
        <f t="shared" si="45"/>
        <v>0.73103147119581713</v>
      </c>
      <c r="AW48" s="39">
        <f t="shared" si="45"/>
        <v>0.7226518390069423</v>
      </c>
      <c r="AX48" s="39">
        <f t="shared" si="45"/>
        <v>0.61701994625633805</v>
      </c>
      <c r="AY48" s="39">
        <f t="shared" si="45"/>
        <v>0.60994032536374543</v>
      </c>
      <c r="AZ48" s="39">
        <f t="shared" si="45"/>
        <v>0.60345825061509628</v>
      </c>
      <c r="BA48" s="39">
        <f t="shared" si="45"/>
        <v>0.59754952056107768</v>
      </c>
      <c r="BB48" s="39">
        <f t="shared" si="45"/>
        <v>0.59219151963589889</v>
      </c>
      <c r="BC48" s="39">
        <f t="shared" si="45"/>
        <v>0.58736309661558062</v>
      </c>
      <c r="BD48" s="39">
        <f t="shared" si="45"/>
        <v>0.58304445421537177</v>
      </c>
      <c r="BE48" s="39">
        <f t="shared" si="45"/>
        <v>0.57921704865649359</v>
      </c>
      <c r="BF48" s="39">
        <f t="shared" si="45"/>
        <v>0.5758634981708437</v>
      </c>
      <c r="BG48" s="39">
        <f t="shared" si="45"/>
        <v>0.57296749953254345</v>
      </c>
      <c r="BH48" s="39">
        <f t="shared" si="45"/>
        <v>0.57051375180993857</v>
      </c>
      <c r="BI48" s="40">
        <f t="shared" si="45"/>
        <v>0.56848788662303329</v>
      </c>
    </row>
    <row r="49" spans="1:61" ht="15">
      <c r="A49" s="36" t="s">
        <v>319</v>
      </c>
      <c r="B49" s="39">
        <f>IF(B13&gt;0,B45*(1-Assumptions!$B$22)/(B13*Assumptions!$B$21),0)</f>
        <v>32.330015071614582</v>
      </c>
      <c r="C49" s="39">
        <f>IF(C13&gt;0,C45*(1-Assumptions!$B$22)/(C13*Assumptions!$B$21),0)</f>
        <v>16.405827864583333</v>
      </c>
      <c r="D49" s="39">
        <f>IF(D13&gt;0,D45*(1-Assumptions!$B$22)/(D13*Assumptions!$B$21),0)</f>
        <v>11.106703190104165</v>
      </c>
      <c r="E49" s="39">
        <f>IF(E13&gt;0,E45*(1-Assumptions!$B$22)/(E13*Assumptions!$B$21),0)</f>
        <v>8.4638910481770822</v>
      </c>
      <c r="F49" s="39">
        <f>IF(F13&gt;0,F45*(1-Assumptions!$B$22)/(F13*Assumptions!$B$21),0)</f>
        <v>6.8836414388020826</v>
      </c>
      <c r="G49" s="39">
        <f>IF(G13&gt;0,G45*(1-Assumptions!$B$22)/(G13*Assumptions!$B$21),0)</f>
        <v>5.8347043619791652</v>
      </c>
      <c r="H49" s="39">
        <f>IF(H13&gt;0,H45*(1-Assumptions!$B$22)/(H13*Assumptions!$B$21),0)</f>
        <v>5.0894012462797606</v>
      </c>
      <c r="I49" s="39">
        <f>IF(I13&gt;0,I45*(1-Assumptions!$B$22)/(I13*Assumptions!$B$21),0)</f>
        <v>4.5338928059895833</v>
      </c>
      <c r="J49" s="39">
        <f>IF(J13&gt;0,J45*(1-Assumptions!$B$22)/(J13*Assumptions!$B$21),0)</f>
        <v>4.1049349934895822</v>
      </c>
      <c r="K49" s="39">
        <f>IF(K13&gt;0,K45*(1-Assumptions!$B$22)/(K13*Assumptions!$B$21),0)</f>
        <v>3.764581380208333</v>
      </c>
      <c r="L49" s="39">
        <f>IF(L13&gt;0,L45*(1-Assumptions!$B$22)/(L13*Assumptions!$B$21),0)</f>
        <v>3.4886842388731045</v>
      </c>
      <c r="M49" s="39">
        <f>IF(M13&gt;0,M45*(1-Assumptions!$B$22)/(M13*Assumptions!$B$21),0)</f>
        <v>3.2611450846354164</v>
      </c>
      <c r="N49" s="39">
        <f>IF(N13&gt;0,N45*(1-Assumptions!$B$22)/(N13*Assumptions!$B$21),0)</f>
        <v>5.8723102707720143</v>
      </c>
      <c r="O49" s="39">
        <f>IF(O13&gt;0,O45*(1-Assumptions!$B$22)/(O13*Assumptions!$B$21),0)</f>
        <v>5.6393169567803563</v>
      </c>
      <c r="P49" s="39">
        <f>IF(P13&gt;0,P45*(1-Assumptions!$B$22)/(P13*Assumptions!$B$21),0)</f>
        <v>5.4241073098344561</v>
      </c>
      <c r="Q49" s="39">
        <f>IF(Q13&gt;0,Q45*(1-Assumptions!$B$22)/(Q13*Assumptions!$B$21),0)</f>
        <v>5.2245378808677865</v>
      </c>
      <c r="R49" s="39">
        <f>IF(R13&gt;0,R45*(1-Assumptions!$B$22)/(R13*Assumptions!$B$21),0)</f>
        <v>5.0388005089359602</v>
      </c>
      <c r="S49" s="39">
        <f>IF(S13&gt;0,S45*(1-Assumptions!$B$22)/(S13*Assumptions!$B$21),0)</f>
        <v>4.8653592293657901</v>
      </c>
      <c r="T49" s="39">
        <f>IF(T13&gt;0,T45*(1-Assumptions!$B$22)/(T13*Assumptions!$B$21),0)</f>
        <v>4.7029009117371894</v>
      </c>
      <c r="U49" s="39">
        <f>IF(U13&gt;0,U45*(1-Assumptions!$B$22)/(U13*Assumptions!$B$21),0)</f>
        <v>4.550296263888888</v>
      </c>
      <c r="V49" s="39">
        <f>IF(V13&gt;0,V45*(1-Assumptions!$B$22)/(V13*Assumptions!$B$21),0)</f>
        <v>4.4065687481548581</v>
      </c>
      <c r="W49" s="39">
        <f>IF(W13&gt;0,W45*(1-Assumptions!$B$22)/(W13*Assumptions!$B$21),0)</f>
        <v>4.2708695981524736</v>
      </c>
      <c r="X49" s="39">
        <f>IF(X13&gt;0,X45*(1-Assumptions!$B$22)/(X13*Assumptions!$B$21),0)</f>
        <v>4.1424575835113959</v>
      </c>
      <c r="Y49" s="39">
        <f>IF(Y13&gt;0,Y45*(1-Assumptions!$B$22)/(Y13*Assumptions!$B$21),0)</f>
        <v>4.0226786269087071</v>
      </c>
      <c r="Z49" s="39">
        <f>IF(Z13&gt;0,Z45*(1-Assumptions!$B$22)/(Z13*Assumptions!$B$21),0)</f>
        <v>4.9017344252754338</v>
      </c>
      <c r="AA49" s="39">
        <f>IF(AA13&gt;0,AA45*(1-Assumptions!$B$22)/(AA13*Assumptions!$B$21),0)</f>
        <v>4.8079682548215894</v>
      </c>
      <c r="AB49" s="39">
        <f>IF(AB13&gt;0,AB45*(1-Assumptions!$B$22)/(AB13*Assumptions!$B$21),0)</f>
        <v>4.7222570284259255</v>
      </c>
      <c r="AC49" s="39">
        <f>IF(AC13&gt;0,AC45*(1-Assumptions!$B$22)/(AC13*Assumptions!$B$21),0)</f>
        <v>4.6453310614162451</v>
      </c>
      <c r="AD49" s="39">
        <f>IF(AD13&gt;0,AD45*(1-Assumptions!$B$22)/(AD13*Assumptions!$B$21),0)</f>
        <v>4.5733284968915333</v>
      </c>
      <c r="AE49" s="39">
        <f>IF(AE13&gt;0,AE45*(1-Assumptions!$B$22)/(AE13*Assumptions!$B$21),0)</f>
        <v>4.5072269348601246</v>
      </c>
      <c r="AF49" s="39">
        <f>IF(AF13&gt;0,AF45*(1-Assumptions!$B$22)/(AF13*Assumptions!$B$21),0)</f>
        <v>4.4464809732674686</v>
      </c>
      <c r="AG49" s="39">
        <f>IF(AG13&gt;0,AG45*(1-Assumptions!$B$22)/(AG13*Assumptions!$B$21),0)</f>
        <v>4.391976230527777</v>
      </c>
      <c r="AH49" s="39">
        <f>IF(AH13&gt;0,AH45*(1-Assumptions!$B$22)/(AH13*Assumptions!$B$21),0)</f>
        <v>4.3405230696197403</v>
      </c>
      <c r="AI49" s="39">
        <f>IF(AI13&gt;0,AI45*(1-Assumptions!$B$22)/(AI13*Assumptions!$B$21),0)</f>
        <v>4.2931473470213133</v>
      </c>
      <c r="AJ49" s="39">
        <f>IF(AJ13&gt;0,AJ45*(1-Assumptions!$B$22)/(AJ13*Assumptions!$B$21),0)</f>
        <v>4.2495142744605836</v>
      </c>
      <c r="AK49" s="39">
        <f>IF(AK13&gt;0,AK45*(1-Assumptions!$B$22)/(AK13*Assumptions!$B$21),0)</f>
        <v>4.2105441947503301</v>
      </c>
      <c r="AL49" s="39">
        <f>IF(AL13&gt;0,AL45*(1-Assumptions!$B$22)/(AL13*Assumptions!$B$21),0)</f>
        <v>3.6516093199741668</v>
      </c>
      <c r="AM49" s="39">
        <f>IF(AM13&gt;0,AM45*(1-Assumptions!$B$22)/(AM13*Assumptions!$B$21),0)</f>
        <v>3.6174593112864755</v>
      </c>
      <c r="AN49" s="39">
        <f>IF(AN13&gt;0,AN45*(1-Assumptions!$B$22)/(AN13*Assumptions!$B$21),0)</f>
        <v>3.5868835105558263</v>
      </c>
      <c r="AO49" s="39">
        <f>IF(AO13&gt;0,AO45*(1-Assumptions!$B$22)/(AO13*Assumptions!$B$21),0)</f>
        <v>3.559548230988268</v>
      </c>
      <c r="AP49" s="39">
        <f>IF(AP13&gt;0,AP45*(1-Assumptions!$B$22)/(AP13*Assumptions!$B$21),0)</f>
        <v>3.5351602326739608</v>
      </c>
      <c r="AQ49" s="39">
        <f>IF(AQ13&gt;0,AQ45*(1-Assumptions!$B$22)/(AQ13*Assumptions!$B$21),0)</f>
        <v>3.5134607745159929</v>
      </c>
      <c r="AR49" s="39">
        <f>IF(AR13&gt;0,AR45*(1-Assumptions!$B$22)/(AR13*Assumptions!$B$21),0)</f>
        <v>3.4942206858285236</v>
      </c>
      <c r="AS49" s="39">
        <f>IF(AS13&gt;0,AS45*(1-Assumptions!$B$22)/(AS13*Assumptions!$B$21),0)</f>
        <v>3.4772362593352497</v>
      </c>
      <c r="AT49" s="39">
        <f>IF(AT13&gt;0,AT45*(1-Assumptions!$B$22)/(AT13*Assumptions!$B$21),0)</f>
        <v>3.4623258101681227</v>
      </c>
      <c r="AU49" s="39">
        <f>IF(AU13&gt;0,AU45*(1-Assumptions!$B$22)/(AU13*Assumptions!$B$21),0)</f>
        <v>3.4493267781820403</v>
      </c>
      <c r="AV49" s="39">
        <f>IF(AV13&gt;0,AV45*(1-Assumptions!$B$22)/(AV13*Assumptions!$B$21),0)</f>
        <v>3.4380932760672964</v>
      </c>
      <c r="AW49" s="39">
        <f>IF(AW13&gt;0,AW45*(1-Assumptions!$B$22)/(AW13*Assumptions!$B$21),0)</f>
        <v>3.4284194551741369</v>
      </c>
      <c r="AX49" s="39">
        <f>IF(AX13&gt;0,AX45*(1-Assumptions!$B$22)/(AX13*Assumptions!$B$21),0)</f>
        <v>3.1513048640022774</v>
      </c>
      <c r="AY49" s="39">
        <f>IF(AY13&gt;0,AY45*(1-Assumptions!$B$22)/(AY13*Assumptions!$B$21),0)</f>
        <v>3.1450276807289361</v>
      </c>
      <c r="AZ49" s="39">
        <f>IF(AZ13&gt;0,AZ45*(1-Assumptions!$B$22)/(AZ13*Assumptions!$B$21),0)</f>
        <v>3.1399010975429764</v>
      </c>
      <c r="BA49" s="39">
        <f>IF(BA13&gt;0,BA45*(1-Assumptions!$B$22)/(BA13*Assumptions!$B$21),0)</f>
        <v>3.13584747025704</v>
      </c>
      <c r="BB49" s="39">
        <f>IF(BB13&gt;0,BB45*(1-Assumptions!$B$22)/(BB13*Assumptions!$B$21),0)</f>
        <v>3.1327960563893176</v>
      </c>
      <c r="BC49" s="39">
        <f>IF(BC13&gt;0,BC45*(1-Assumptions!$B$22)/(BC13*Assumptions!$B$21),0)</f>
        <v>3.1306822649781521</v>
      </c>
      <c r="BD49" s="39">
        <f>IF(BD13&gt;0,BD45*(1-Assumptions!$B$22)/(BD13*Assumptions!$B$21),0)</f>
        <v>3.129447002165008</v>
      </c>
      <c r="BE49" s="39">
        <f>IF(BE13&gt;0,BE45*(1-Assumptions!$B$22)/(BE13*Assumptions!$B$21),0)</f>
        <v>3.1290360985795642</v>
      </c>
      <c r="BF49" s="39">
        <f>IF(BF13&gt;0,BF45*(1-Assumptions!$B$22)/(BF13*Assumptions!$B$21),0)</f>
        <v>3.1293998068409068</v>
      </c>
      <c r="BG49" s="39">
        <f>IF(BG13&gt;0,BG45*(1-Assumptions!$B$22)/(BG13*Assumptions!$B$21),0)</f>
        <v>3.1304923593586031</v>
      </c>
      <c r="BH49" s="39">
        <f>IF(BH13&gt;0,BH45*(1-Assumptions!$B$22)/(BH13*Assumptions!$B$21),0)</f>
        <v>3.13227157815715</v>
      </c>
      <c r="BI49" s="40">
        <f>IF(BI13&gt;0,BI45*(1-Assumptions!$B$22)/(BI13*Assumptions!$B$21),0)</f>
        <v>3.1346985297207004</v>
      </c>
    </row>
    <row r="50" spans="1:61" ht="15">
      <c r="A50" s="36" t="s">
        <v>320</v>
      </c>
      <c r="B50" s="39">
        <f>IF((B16*Assumptions!$B$24+B36*Assumptions!$B$25)&gt;0,(B44+B13*Assumptions!$B$23)/(B16*Assumptions!$B$24+B36*Assumptions!$B$25),0)</f>
        <v>11.233658129593518</v>
      </c>
      <c r="C50" s="39">
        <f>IF((C16*Assumptions!$B$24+C36*Assumptions!$B$25)&gt;0,(C44+C13*Assumptions!$B$23)/(C16*Assumptions!$B$24+C36*Assumptions!$B$25),0)</f>
        <v>5.8797927539520458</v>
      </c>
      <c r="D50" s="39">
        <f>IF((D16*Assumptions!$B$24+D36*Assumptions!$B$25)&gt;0,(D44+D13*Assumptions!$B$23)/(D16*Assumptions!$B$24+D36*Assumptions!$B$25),0)</f>
        <v>4.0955267775404325</v>
      </c>
      <c r="E50" s="39">
        <f>IF((E16*Assumptions!$B$24+E36*Assumptions!$B$25)&gt;0,(E44+E13*Assumptions!$B$23)/(E16*Assumptions!$B$24+E36*Assumptions!$B$25),0)</f>
        <v>3.2036839168911113</v>
      </c>
      <c r="F50" s="39">
        <f>IF((F16*Assumptions!$B$24+F36*Assumptions!$B$25)&gt;0,(F44+F13*Assumptions!$B$23)/(F16*Assumptions!$B$24+F36*Assumptions!$B$25),0)</f>
        <v>2.6688295683900014</v>
      </c>
      <c r="G50" s="39">
        <f>IF((G16*Assumptions!$B$24+G36*Assumptions!$B$25)&gt;0,(G44+G13*Assumptions!$B$23)/(G16*Assumptions!$B$24+G36*Assumptions!$B$25),0)</f>
        <v>2.3124860991463696</v>
      </c>
      <c r="H50" s="39">
        <f>IF((H16*Assumptions!$B$24+H36*Assumptions!$B$25)&gt;0,(H44+H13*Assumptions!$B$23)/(H16*Assumptions!$B$24+H36*Assumptions!$B$25),0)</f>
        <v>2.0581636039371496</v>
      </c>
      <c r="I50" s="39">
        <f>IF((I16*Assumptions!$B$24+I36*Assumptions!$B$25)&gt;0,(I44+I13*Assumptions!$B$23)/(I16*Assumptions!$B$24+I36*Assumptions!$B$25),0)</f>
        <v>1.8676175954715775</v>
      </c>
      <c r="J50" s="39">
        <f>IF((J16*Assumptions!$B$24+J36*Assumptions!$B$25)&gt;0,(J44+J13*Assumptions!$B$23)/(J16*Assumptions!$B$24+J36*Assumptions!$B$25),0)</f>
        <v>1.7196015687851967</v>
      </c>
      <c r="K50" s="39">
        <f>IF((K16*Assumptions!$B$24+K36*Assumptions!$B$25)&gt;0,(K44+K13*Assumptions!$B$23)/(K16*Assumptions!$B$24+K36*Assumptions!$B$25),0)</f>
        <v>1.6013680279288787</v>
      </c>
      <c r="L50" s="39">
        <f>IF((L16*Assumptions!$B$24+L36*Assumptions!$B$25)&gt;0,(L44+L13*Assumptions!$B$23)/(L16*Assumptions!$B$24+L36*Assumptions!$B$25),0)</f>
        <v>1.5048053171836357</v>
      </c>
      <c r="M50" s="39">
        <f>IF((M16*Assumptions!$B$24+M36*Assumptions!$B$25)&gt;0,(M44+M13*Assumptions!$B$23)/(M16*Assumptions!$B$24+M36*Assumptions!$B$25),0)</f>
        <v>1.4245060375485901</v>
      </c>
      <c r="N50" s="39">
        <f>IF((N16*Assumptions!$B$24+N36*Assumptions!$B$25)&gt;0,(N44+N13*Assumptions!$B$23)/(N16*Assumptions!$B$24+N36*Assumptions!$B$25),0)</f>
        <v>2.5927069360316572</v>
      </c>
      <c r="O50" s="39">
        <f>IF((O16*Assumptions!$B$24+O36*Assumptions!$B$25)&gt;0,(O44+O13*Assumptions!$B$23)/(O16*Assumptions!$B$24+O36*Assumptions!$B$25),0)</f>
        <v>2.5084427599679597</v>
      </c>
      <c r="P50" s="39">
        <f>IF((P16*Assumptions!$B$24+P36*Assumptions!$B$25)&gt;0,(P44+P13*Assumptions!$B$23)/(P16*Assumptions!$B$24+P36*Assumptions!$B$25),0)</f>
        <v>2.4285381352756228</v>
      </c>
      <c r="Q50" s="39">
        <f>IF((Q16*Assumptions!$B$24+Q36*Assumptions!$B$25)&gt;0,(Q44+Q13*Assumptions!$B$23)/(Q16*Assumptions!$B$24+Q36*Assumptions!$B$25),0)</f>
        <v>2.352709451761545</v>
      </c>
      <c r="R50" s="39">
        <f>IF((R16*Assumptions!$B$24+R36*Assumptions!$B$25)&gt;0,(R44+R13*Assumptions!$B$23)/(R16*Assumptions!$B$24+R36*Assumptions!$B$25),0)</f>
        <v>2.2806958624737028</v>
      </c>
      <c r="S50" s="39">
        <f>IF((S16*Assumptions!$B$24+S36*Assumptions!$B$25)&gt;0,(S44+S13*Assumptions!$B$23)/(S16*Assumptions!$B$24+S36*Assumptions!$B$25),0)</f>
        <v>2.212257138959286</v>
      </c>
      <c r="T50" s="39">
        <f>IF((T16*Assumptions!$B$24+T36*Assumptions!$B$25)&gt;0,(T44+T13*Assumptions!$B$23)/(T16*Assumptions!$B$24+T36*Assumptions!$B$25),0)</f>
        <v>2.1471717560901209</v>
      </c>
      <c r="U50" s="39">
        <f>IF((U16*Assumptions!$B$24+U36*Assumptions!$B$25)&gt;0,(U44+U13*Assumptions!$B$23)/(U16*Assumptions!$B$24+U36*Assumptions!$B$25),0)</f>
        <v>2.0852351791989334</v>
      </c>
      <c r="V50" s="39">
        <f>IF((V16*Assumptions!$B$24+V36*Assumptions!$B$25)&gt;0,(V44+V13*Assumptions!$B$23)/(V16*Assumptions!$B$24+V36*Assumptions!$B$25),0)</f>
        <v>2.0262583297924674</v>
      </c>
      <c r="W50" s="39">
        <f>IF((W16*Assumptions!$B$24+W36*Assumptions!$B$25)&gt;0,(W44+W13*Assumptions!$B$23)/(W16*Assumptions!$B$24+W36*Assumptions!$B$25),0)</f>
        <v>1.9700662091425172</v>
      </c>
      <c r="X50" s="39">
        <f>IF((X16*Assumptions!$B$24+X36*Assumptions!$B$25)&gt;0,(X44+X13*Assumptions!$B$23)/(X16*Assumptions!$B$24+X36*Assumptions!$B$25),0)</f>
        <v>1.9164966616744998</v>
      </c>
      <c r="Y50" s="39">
        <f>IF((Y16*Assumptions!$B$24+Y36*Assumptions!$B$25)&gt;0,(Y44+Y13*Assumptions!$B$23)/(Y16*Assumptions!$B$24+Y36*Assumptions!$B$25),0)</f>
        <v>1.8670190110875013</v>
      </c>
      <c r="Z50" s="39">
        <f>IF((Z16*Assumptions!$B$24+Z36*Assumptions!$B$25)&gt;0,(Z44+Z13*Assumptions!$B$23)/(Z16*Assumptions!$B$24+Z36*Assumptions!$B$25),0)</f>
        <v>2.1741136146460716</v>
      </c>
      <c r="AA50" s="39">
        <f>IF((AA16*Assumptions!$B$24+AA36*Assumptions!$B$25)&gt;0,(AA44+AA13*Assumptions!$B$23)/(AA16*Assumptions!$B$24+AA36*Assumptions!$B$25),0)</f>
        <v>2.163436217067785</v>
      </c>
      <c r="AB50" s="39">
        <f>IF((AB16*Assumptions!$B$24+AB36*Assumptions!$B$25)&gt;0,(AB44+AB13*Assumptions!$B$23)/(AB16*Assumptions!$B$24+AB36*Assumptions!$B$25),0)</f>
        <v>2.1539312063166705</v>
      </c>
      <c r="AC50" s="39">
        <f>IF((AC16*Assumptions!$B$24+AC36*Assumptions!$B$25)&gt;0,(AC44+AC13*Assumptions!$B$23)/(AC16*Assumptions!$B$24+AC36*Assumptions!$B$25),0)</f>
        <v>2.1469554678841538</v>
      </c>
      <c r="AD50" s="39">
        <f>IF((AD16*Assumptions!$B$24+AD36*Assumptions!$B$25)&gt;0,(AD44+AD13*Assumptions!$B$23)/(AD16*Assumptions!$B$24+AD36*Assumptions!$B$25),0)</f>
        <v>2.139609997247657</v>
      </c>
      <c r="AE50" s="39">
        <f>IF((AE16*Assumptions!$B$24+AE36*Assumptions!$B$25)&gt;0,(AE44+AE13*Assumptions!$B$23)/(AE16*Assumptions!$B$24+AE36*Assumptions!$B$25),0)</f>
        <v>2.133294023139797</v>
      </c>
      <c r="AF50" s="39">
        <f>IF((AF16*Assumptions!$B$24+AF36*Assumptions!$B$25)&gt;0,(AF44+AF13*Assumptions!$B$23)/(AF16*Assumptions!$B$24+AF36*Assumptions!$B$25),0)</f>
        <v>2.1279667758044387</v>
      </c>
      <c r="AG50" s="39">
        <f>IF((AG16*Assumptions!$B$24+AG36*Assumptions!$B$25)&gt;0,(AG44+AG13*Assumptions!$B$23)/(AG16*Assumptions!$B$24+AG36*Assumptions!$B$25),0)</f>
        <v>2.1249205369942712</v>
      </c>
      <c r="AH50" s="39">
        <f>IF((AH16*Assumptions!$B$24+AH36*Assumptions!$B$25)&gt;0,(AH44+AH13*Assumptions!$B$23)/(AH16*Assumptions!$B$24+AH36*Assumptions!$B$25),0)</f>
        <v>2.1214351983971058</v>
      </c>
      <c r="AI50" s="39">
        <f>IF((AI16*Assumptions!$B$24+AI36*Assumptions!$B$25)&gt;0,(AI44+AI13*Assumptions!$B$23)/(AI16*Assumptions!$B$24+AI36*Assumptions!$B$25),0)</f>
        <v>2.1188363183370038</v>
      </c>
      <c r="AJ50" s="39">
        <f>IF((AJ16*Assumptions!$B$24+AJ36*Assumptions!$B$25)&gt;0,(AJ44+AJ13*Assumptions!$B$23)/(AJ16*Assumptions!$B$24+AJ36*Assumptions!$B$25),0)</f>
        <v>2.1170946197402856</v>
      </c>
      <c r="AK50" s="39">
        <f>IF((AK16*Assumptions!$B$24+AK36*Assumptions!$B$25)&gt;0,(AK44+AK13*Assumptions!$B$23)/(AK16*Assumptions!$B$24+AK36*Assumptions!$B$25),0)</f>
        <v>2.1174535054434132</v>
      </c>
      <c r="AL50" s="39">
        <f>IF((AL16*Assumptions!$B$24+AL36*Assumptions!$B$25)&gt;0,(AL44+AL13*Assumptions!$B$23)/(AL16*Assumptions!$B$24+AL36*Assumptions!$B$25),0)</f>
        <v>1.7847921214616072</v>
      </c>
      <c r="AM50" s="39">
        <f>IF((AM16*Assumptions!$B$24+AM36*Assumptions!$B$25)&gt;0,(AM44+AM13*Assumptions!$B$23)/(AM16*Assumptions!$B$24+AM36*Assumptions!$B$25),0)</f>
        <v>1.7827445456969062</v>
      </c>
      <c r="AN50" s="39">
        <f>IF((AN16*Assumptions!$B$24+AN36*Assumptions!$B$25)&gt;0,(AN44+AN13*Assumptions!$B$23)/(AN16*Assumptions!$B$24+AN36*Assumptions!$B$25),0)</f>
        <v>1.7815203169801301</v>
      </c>
      <c r="AO50" s="39">
        <f>IF((AO16*Assumptions!$B$24+AO36*Assumptions!$B$25)&gt;0,(AO44+AO13*Assumptions!$B$23)/(AO16*Assumptions!$B$24+AO36*Assumptions!$B$25),0)</f>
        <v>1.781080060314902</v>
      </c>
      <c r="AP50" s="39">
        <f>IF((AP16*Assumptions!$B$24+AP36*Assumptions!$B$25)&gt;0,(AP44+AP13*Assumptions!$B$23)/(AP16*Assumptions!$B$24+AP36*Assumptions!$B$25),0)</f>
        <v>1.7813875697890136</v>
      </c>
      <c r="AQ50" s="39">
        <f>IF((AQ16*Assumptions!$B$24+AQ36*Assumptions!$B$25)&gt;0,(AQ44+AQ13*Assumptions!$B$23)/(AQ16*Assumptions!$B$24+AQ36*Assumptions!$B$25),0)</f>
        <v>1.7824095120677887</v>
      </c>
      <c r="AR50" s="39">
        <f>IF((AR16*Assumptions!$B$24+AR36*Assumptions!$B$25)&gt;0,(AR44+AR13*Assumptions!$B$23)/(AR16*Assumptions!$B$24+AR36*Assumptions!$B$25),0)</f>
        <v>1.784115162913134</v>
      </c>
      <c r="AS50" s="39">
        <f>IF((AS16*Assumptions!$B$24+AS36*Assumptions!$B$25)&gt;0,(AS44+AS13*Assumptions!$B$23)/(AS16*Assumptions!$B$24+AS36*Assumptions!$B$25),0)</f>
        <v>1.7864761725242027</v>
      </c>
      <c r="AT50" s="39">
        <f>IF((AT16*Assumptions!$B$24+AT36*Assumptions!$B$25)&gt;0,(AT44+AT13*Assumptions!$B$23)/(AT16*Assumptions!$B$24+AT36*Assumptions!$B$25),0)</f>
        <v>1.7894663560965711</v>
      </c>
      <c r="AU50" s="39">
        <f>IF((AU16*Assumptions!$B$24+AU36*Assumptions!$B$25)&gt;0,(AU44+AU13*Assumptions!$B$23)/(AU16*Assumptions!$B$24+AU36*Assumptions!$B$25),0)</f>
        <v>1.7930615065028557</v>
      </c>
      <c r="AV50" s="39">
        <f>IF((AV16*Assumptions!$B$24+AV36*Assumptions!$B$25)&gt;0,(AV44+AV13*Assumptions!$B$23)/(AV16*Assumptions!$B$24+AV36*Assumptions!$B$25),0)</f>
        <v>1.7972392264251813</v>
      </c>
      <c r="AW50" s="39">
        <f>IF((AW16*Assumptions!$B$24+AW36*Assumptions!$B$25)&gt;0,(AW44+AW13*Assumptions!$B$23)/(AW16*Assumptions!$B$24+AW36*Assumptions!$B$25),0)</f>
        <v>1.801939614242557</v>
      </c>
      <c r="AX50" s="39">
        <f>IF((AX16*Assumptions!$B$24+AX36*Assumptions!$B$25)&gt;0,(AX44+AX13*Assumptions!$B$23)/(AX16*Assumptions!$B$24+AX36*Assumptions!$B$25),0)</f>
        <v>1.6373611804784698</v>
      </c>
      <c r="AY50" s="39">
        <f>IF((AY16*Assumptions!$B$24+AY36*Assumptions!$B$25)&gt;0,(AY44+AY13*Assumptions!$B$23)/(AY16*Assumptions!$B$24+AY36*Assumptions!$B$25),0)</f>
        <v>1.6405606871846712</v>
      </c>
      <c r="AZ50" s="39">
        <f>IF((AZ16*Assumptions!$B$24+AZ36*Assumptions!$B$25)&gt;0,(AZ44+AZ13*Assumptions!$B$23)/(AZ16*Assumptions!$B$24+AZ36*Assumptions!$B$25),0)</f>
        <v>1.6441786260612492</v>
      </c>
      <c r="BA50" s="39">
        <f>IF((BA16*Assumptions!$B$24+BA36*Assumptions!$B$25)&gt;0,(BA44+BA13*Assumptions!$B$23)/(BA16*Assumptions!$B$24+BA36*Assumptions!$B$25),0)</f>
        <v>1.6481995456812768</v>
      </c>
      <c r="BB50" s="39">
        <f>IF((BB16*Assumptions!$B$24+BB36*Assumptions!$B$25)&gt;0,(BB44+BB13*Assumptions!$B$23)/(BB16*Assumptions!$B$24+BB36*Assumptions!$B$25),0)</f>
        <v>1.6526090822590549</v>
      </c>
      <c r="BC50" s="39">
        <f>IF((BC16*Assumptions!$B$24+BC36*Assumptions!$B$25)&gt;0,(BC44+BC13*Assumptions!$B$23)/(BC16*Assumptions!$B$24+BC36*Assumptions!$B$25),0)</f>
        <v>1.6573938728759374</v>
      </c>
      <c r="BD50" s="39">
        <f>IF((BD16*Assumptions!$B$24+BD36*Assumptions!$B$25)&gt;0,(BD44+BD13*Assumptions!$B$23)/(BD16*Assumptions!$B$24+BD36*Assumptions!$B$25),0)</f>
        <v>1.6625414770145446</v>
      </c>
      <c r="BE50" s="39">
        <f>IF((BE16*Assumptions!$B$24+BE36*Assumptions!$B$25)&gt;0,(BE44+BE13*Assumptions!$B$23)/(BE16*Assumptions!$B$24+BE36*Assumptions!$B$25),0)</f>
        <v>1.6680403054908497</v>
      </c>
      <c r="BF50" s="39">
        <f>IF((BF16*Assumptions!$B$24+BF36*Assumptions!$B$25)&gt;0,(BF44+BF13*Assumptions!$B$23)/(BF16*Assumptions!$B$24+BF36*Assumptions!$B$25),0)</f>
        <v>1.673879555985994</v>
      </c>
      <c r="BG50" s="39">
        <f>IF((BG16*Assumptions!$B$24+BG36*Assumptions!$B$25)&gt;0,(BG44+BG13*Assumptions!$B$23)/(BG16*Assumptions!$B$24+BG36*Assumptions!$B$25),0)</f>
        <v>1.6800491544766798</v>
      </c>
      <c r="BH50" s="39">
        <f>IF((BH16*Assumptions!$B$24+BH36*Assumptions!$B$25)&gt;0,(BH44+BH13*Assumptions!$B$23)/(BH16*Assumptions!$B$24+BH36*Assumptions!$B$25),0)</f>
        <v>1.6865397019469186</v>
      </c>
      <c r="BI50" s="40">
        <f>IF((BI16*Assumptions!$B$24+BI36*Assumptions!$B$25)&gt;0,(BI44+BI13*Assumptions!$B$23)/(BI16*Assumptions!$B$24+BI36*Assumptions!$B$25),0)</f>
        <v>1.6933424258367265</v>
      </c>
    </row>
    <row r="51" spans="1:61" ht="15">
      <c r="A51" s="36" t="s">
        <v>321</v>
      </c>
      <c r="B51" s="39">
        <f t="shared" ref="B51:AG51" si="46">IF(B13&gt;0,B16/B13,0)</f>
        <v>0</v>
      </c>
      <c r="C51" s="39">
        <f t="shared" si="46"/>
        <v>0</v>
      </c>
      <c r="D51" s="39">
        <f t="shared" si="46"/>
        <v>0</v>
      </c>
      <c r="E51" s="39">
        <f t="shared" si="46"/>
        <v>0</v>
      </c>
      <c r="F51" s="39">
        <f t="shared" si="46"/>
        <v>0</v>
      </c>
      <c r="G51" s="39">
        <f t="shared" si="46"/>
        <v>0</v>
      </c>
      <c r="H51" s="39">
        <f t="shared" si="46"/>
        <v>0</v>
      </c>
      <c r="I51" s="39">
        <f t="shared" si="46"/>
        <v>0</v>
      </c>
      <c r="J51" s="39">
        <f t="shared" si="46"/>
        <v>0</v>
      </c>
      <c r="K51" s="39">
        <f t="shared" si="46"/>
        <v>0</v>
      </c>
      <c r="L51" s="39">
        <f t="shared" si="46"/>
        <v>0</v>
      </c>
      <c r="M51" s="39">
        <f t="shared" si="46"/>
        <v>0</v>
      </c>
      <c r="N51" s="39">
        <f t="shared" si="46"/>
        <v>0.01</v>
      </c>
      <c r="O51" s="39">
        <f t="shared" si="46"/>
        <v>0.02</v>
      </c>
      <c r="P51" s="39">
        <f t="shared" si="46"/>
        <v>0.03</v>
      </c>
      <c r="Q51" s="39">
        <f t="shared" si="46"/>
        <v>0.04</v>
      </c>
      <c r="R51" s="39">
        <f t="shared" si="46"/>
        <v>4.9999999999999996E-2</v>
      </c>
      <c r="S51" s="39">
        <f t="shared" si="46"/>
        <v>0.06</v>
      </c>
      <c r="T51" s="39">
        <f t="shared" si="46"/>
        <v>6.9999999999999993E-2</v>
      </c>
      <c r="U51" s="39">
        <f t="shared" si="46"/>
        <v>0.08</v>
      </c>
      <c r="V51" s="39">
        <f t="shared" si="46"/>
        <v>9.0000000000000011E-2</v>
      </c>
      <c r="W51" s="39">
        <f t="shared" si="46"/>
        <v>9.9999999999999978E-2</v>
      </c>
      <c r="X51" s="39">
        <f t="shared" si="46"/>
        <v>0.10999999999999999</v>
      </c>
      <c r="Y51" s="39">
        <f t="shared" si="46"/>
        <v>0.12</v>
      </c>
      <c r="Z51" s="39">
        <f t="shared" si="46"/>
        <v>0.25</v>
      </c>
      <c r="AA51" s="39">
        <f t="shared" si="46"/>
        <v>0.25</v>
      </c>
      <c r="AB51" s="39">
        <f t="shared" si="46"/>
        <v>0.25</v>
      </c>
      <c r="AC51" s="39">
        <f t="shared" si="46"/>
        <v>0.25</v>
      </c>
      <c r="AD51" s="39">
        <f t="shared" si="46"/>
        <v>0.25</v>
      </c>
      <c r="AE51" s="39">
        <f t="shared" si="46"/>
        <v>0.25</v>
      </c>
      <c r="AF51" s="39">
        <f t="shared" si="46"/>
        <v>0.25</v>
      </c>
      <c r="AG51" s="39">
        <f t="shared" si="46"/>
        <v>0.25</v>
      </c>
      <c r="AH51" s="39">
        <f t="shared" ref="AH51:BI51" si="47">IF(AH13&gt;0,AH16/AH13,0)</f>
        <v>0.25</v>
      </c>
      <c r="AI51" s="39">
        <f t="shared" si="47"/>
        <v>0.25</v>
      </c>
      <c r="AJ51" s="39">
        <f t="shared" si="47"/>
        <v>0.25</v>
      </c>
      <c r="AK51" s="39">
        <f t="shared" si="47"/>
        <v>0.25</v>
      </c>
      <c r="AL51" s="39">
        <f t="shared" si="47"/>
        <v>0.35</v>
      </c>
      <c r="AM51" s="39">
        <f t="shared" si="47"/>
        <v>0.35</v>
      </c>
      <c r="AN51" s="39">
        <f t="shared" si="47"/>
        <v>0.35</v>
      </c>
      <c r="AO51" s="39">
        <f t="shared" si="47"/>
        <v>0.35</v>
      </c>
      <c r="AP51" s="39">
        <f t="shared" si="47"/>
        <v>0.35</v>
      </c>
      <c r="AQ51" s="39">
        <f t="shared" si="47"/>
        <v>0.35000000000000003</v>
      </c>
      <c r="AR51" s="39">
        <f t="shared" si="47"/>
        <v>0.35</v>
      </c>
      <c r="AS51" s="39">
        <f t="shared" si="47"/>
        <v>0.35</v>
      </c>
      <c r="AT51" s="39">
        <f t="shared" si="47"/>
        <v>0.35</v>
      </c>
      <c r="AU51" s="39">
        <f t="shared" si="47"/>
        <v>0.35</v>
      </c>
      <c r="AV51" s="39">
        <f t="shared" si="47"/>
        <v>0.34999999999999992</v>
      </c>
      <c r="AW51" s="39">
        <f t="shared" si="47"/>
        <v>0.35</v>
      </c>
      <c r="AX51" s="39">
        <f t="shared" si="47"/>
        <v>0.4</v>
      </c>
      <c r="AY51" s="39">
        <f t="shared" si="47"/>
        <v>0.4</v>
      </c>
      <c r="AZ51" s="39">
        <f t="shared" si="47"/>
        <v>0.4</v>
      </c>
      <c r="BA51" s="39">
        <f t="shared" si="47"/>
        <v>0.4</v>
      </c>
      <c r="BB51" s="39">
        <f t="shared" si="47"/>
        <v>0.4</v>
      </c>
      <c r="BC51" s="39">
        <f t="shared" si="47"/>
        <v>0.4</v>
      </c>
      <c r="BD51" s="39">
        <f t="shared" si="47"/>
        <v>0.4</v>
      </c>
      <c r="BE51" s="39">
        <f t="shared" si="47"/>
        <v>0.4</v>
      </c>
      <c r="BF51" s="39">
        <f t="shared" si="47"/>
        <v>0.4</v>
      </c>
      <c r="BG51" s="39">
        <f t="shared" si="47"/>
        <v>0.4</v>
      </c>
      <c r="BH51" s="39">
        <f t="shared" si="47"/>
        <v>0.4</v>
      </c>
      <c r="BI51" s="40">
        <f t="shared" si="47"/>
        <v>0.4</v>
      </c>
    </row>
    <row r="52" spans="1:61" ht="15">
      <c r="A52" s="36" t="s">
        <v>322</v>
      </c>
      <c r="B52" s="49" t="str">
        <f>IF(AND(B$3&lt;Assumptions!$B$7,B16&gt;0.0001),"BREACH","OK")</f>
        <v>OK</v>
      </c>
      <c r="C52" s="49" t="str">
        <f>IF(AND(C$3&lt;Assumptions!$B$7,C16&gt;0.0001),"BREACH","OK")</f>
        <v>OK</v>
      </c>
      <c r="D52" s="49" t="str">
        <f>IF(AND(D$3&lt;Assumptions!$B$7,D16&gt;0.0001),"BREACH","OK")</f>
        <v>OK</v>
      </c>
      <c r="E52" s="49" t="str">
        <f>IF(AND(E$3&lt;Assumptions!$B$7,E16&gt;0.0001),"BREACH","OK")</f>
        <v>OK</v>
      </c>
      <c r="F52" s="49" t="str">
        <f>IF(AND(F$3&lt;Assumptions!$B$7,F16&gt;0.0001),"BREACH","OK")</f>
        <v>OK</v>
      </c>
      <c r="G52" s="49" t="str">
        <f>IF(AND(G$3&lt;Assumptions!$B$7,G16&gt;0.0001),"BREACH","OK")</f>
        <v>OK</v>
      </c>
      <c r="H52" s="49" t="str">
        <f>IF(AND(H$3&lt;Assumptions!$B$7,H16&gt;0.0001),"BREACH","OK")</f>
        <v>OK</v>
      </c>
      <c r="I52" s="49" t="str">
        <f>IF(AND(I$3&lt;Assumptions!$B$7,I16&gt;0.0001),"BREACH","OK")</f>
        <v>OK</v>
      </c>
      <c r="J52" s="49" t="str">
        <f>IF(AND(J$3&lt;Assumptions!$B$7,J16&gt;0.0001),"BREACH","OK")</f>
        <v>OK</v>
      </c>
      <c r="K52" s="49" t="str">
        <f>IF(AND(K$3&lt;Assumptions!$B$7,K16&gt;0.0001),"BREACH","OK")</f>
        <v>OK</v>
      </c>
      <c r="L52" s="49" t="str">
        <f>IF(AND(L$3&lt;Assumptions!$B$7,L16&gt;0.0001),"BREACH","OK")</f>
        <v>OK</v>
      </c>
      <c r="M52" s="49" t="str">
        <f>IF(AND(M$3&lt;Assumptions!$B$7,M16&gt;0.0001),"BREACH","OK")</f>
        <v>OK</v>
      </c>
      <c r="N52" s="49" t="str">
        <f>IF(AND(N$3&lt;Assumptions!$B$7,N16&gt;0.0001),"BREACH","OK")</f>
        <v>OK</v>
      </c>
      <c r="O52" s="49" t="str">
        <f>IF(AND(O$3&lt;Assumptions!$B$7,O16&gt;0.0001),"BREACH","OK")</f>
        <v>OK</v>
      </c>
      <c r="P52" s="49" t="str">
        <f>IF(AND(P$3&lt;Assumptions!$B$7,P16&gt;0.0001),"BREACH","OK")</f>
        <v>OK</v>
      </c>
      <c r="Q52" s="49" t="str">
        <f>IF(AND(Q$3&lt;Assumptions!$B$7,Q16&gt;0.0001),"BREACH","OK")</f>
        <v>OK</v>
      </c>
      <c r="R52" s="49" t="str">
        <f>IF(AND(R$3&lt;Assumptions!$B$7,R16&gt;0.0001),"BREACH","OK")</f>
        <v>OK</v>
      </c>
      <c r="S52" s="49" t="str">
        <f>IF(AND(S$3&lt;Assumptions!$B$7,S16&gt;0.0001),"BREACH","OK")</f>
        <v>OK</v>
      </c>
      <c r="T52" s="49" t="str">
        <f>IF(AND(T$3&lt;Assumptions!$B$7,T16&gt;0.0001),"BREACH","OK")</f>
        <v>OK</v>
      </c>
      <c r="U52" s="49" t="str">
        <f>IF(AND(U$3&lt;Assumptions!$B$7,U16&gt;0.0001),"BREACH","OK")</f>
        <v>OK</v>
      </c>
      <c r="V52" s="49" t="str">
        <f>IF(AND(V$3&lt;Assumptions!$B$7,V16&gt;0.0001),"BREACH","OK")</f>
        <v>OK</v>
      </c>
      <c r="W52" s="49" t="str">
        <f>IF(AND(W$3&lt;Assumptions!$B$7,W16&gt;0.0001),"BREACH","OK")</f>
        <v>OK</v>
      </c>
      <c r="X52" s="49" t="str">
        <f>IF(AND(X$3&lt;Assumptions!$B$7,X16&gt;0.0001),"BREACH","OK")</f>
        <v>OK</v>
      </c>
      <c r="Y52" s="49" t="str">
        <f>IF(AND(Y$3&lt;Assumptions!$B$7,Y16&gt;0.0001),"BREACH","OK")</f>
        <v>OK</v>
      </c>
      <c r="Z52" s="49" t="str">
        <f>IF(AND(Z$3&lt;Assumptions!$B$7,Z16&gt;0.0001),"BREACH","OK")</f>
        <v>OK</v>
      </c>
      <c r="AA52" s="49" t="str">
        <f>IF(AND(AA$3&lt;Assumptions!$B$7,AA16&gt;0.0001),"BREACH","OK")</f>
        <v>OK</v>
      </c>
      <c r="AB52" s="49" t="str">
        <f>IF(AND(AB$3&lt;Assumptions!$B$7,AB16&gt;0.0001),"BREACH","OK")</f>
        <v>OK</v>
      </c>
      <c r="AC52" s="49" t="str">
        <f>IF(AND(AC$3&lt;Assumptions!$B$7,AC16&gt;0.0001),"BREACH","OK")</f>
        <v>OK</v>
      </c>
      <c r="AD52" s="49" t="str">
        <f>IF(AND(AD$3&lt;Assumptions!$B$7,AD16&gt;0.0001),"BREACH","OK")</f>
        <v>OK</v>
      </c>
      <c r="AE52" s="49" t="str">
        <f>IF(AND(AE$3&lt;Assumptions!$B$7,AE16&gt;0.0001),"BREACH","OK")</f>
        <v>OK</v>
      </c>
      <c r="AF52" s="49" t="str">
        <f>IF(AND(AF$3&lt;Assumptions!$B$7,AF16&gt;0.0001),"BREACH","OK")</f>
        <v>OK</v>
      </c>
      <c r="AG52" s="49" t="str">
        <f>IF(AND(AG$3&lt;Assumptions!$B$7,AG16&gt;0.0001),"BREACH","OK")</f>
        <v>OK</v>
      </c>
      <c r="AH52" s="49" t="str">
        <f>IF(AND(AH$3&lt;Assumptions!$B$7,AH16&gt;0.0001),"BREACH","OK")</f>
        <v>OK</v>
      </c>
      <c r="AI52" s="49" t="str">
        <f>IF(AND(AI$3&lt;Assumptions!$B$7,AI16&gt;0.0001),"BREACH","OK")</f>
        <v>OK</v>
      </c>
      <c r="AJ52" s="49" t="str">
        <f>IF(AND(AJ$3&lt;Assumptions!$B$7,AJ16&gt;0.0001),"BREACH","OK")</f>
        <v>OK</v>
      </c>
      <c r="AK52" s="49" t="str">
        <f>IF(AND(AK$3&lt;Assumptions!$B$7,AK16&gt;0.0001),"BREACH","OK")</f>
        <v>OK</v>
      </c>
      <c r="AL52" s="49" t="str">
        <f>IF(AND(AL$3&lt;Assumptions!$B$7,AL16&gt;0.0001),"BREACH","OK")</f>
        <v>OK</v>
      </c>
      <c r="AM52" s="49" t="str">
        <f>IF(AND(AM$3&lt;Assumptions!$B$7,AM16&gt;0.0001),"BREACH","OK")</f>
        <v>OK</v>
      </c>
      <c r="AN52" s="49" t="str">
        <f>IF(AND(AN$3&lt;Assumptions!$B$7,AN16&gt;0.0001),"BREACH","OK")</f>
        <v>OK</v>
      </c>
      <c r="AO52" s="49" t="str">
        <f>IF(AND(AO$3&lt;Assumptions!$B$7,AO16&gt;0.0001),"BREACH","OK")</f>
        <v>OK</v>
      </c>
      <c r="AP52" s="49" t="str">
        <f>IF(AND(AP$3&lt;Assumptions!$B$7,AP16&gt;0.0001),"BREACH","OK")</f>
        <v>OK</v>
      </c>
      <c r="AQ52" s="49" t="str">
        <f>IF(AND(AQ$3&lt;Assumptions!$B$7,AQ16&gt;0.0001),"BREACH","OK")</f>
        <v>OK</v>
      </c>
      <c r="AR52" s="49" t="str">
        <f>IF(AND(AR$3&lt;Assumptions!$B$7,AR16&gt;0.0001),"BREACH","OK")</f>
        <v>OK</v>
      </c>
      <c r="AS52" s="49" t="str">
        <f>IF(AND(AS$3&lt;Assumptions!$B$7,AS16&gt;0.0001),"BREACH","OK")</f>
        <v>OK</v>
      </c>
      <c r="AT52" s="49" t="str">
        <f>IF(AND(AT$3&lt;Assumptions!$B$7,AT16&gt;0.0001),"BREACH","OK")</f>
        <v>OK</v>
      </c>
      <c r="AU52" s="49" t="str">
        <f>IF(AND(AU$3&lt;Assumptions!$B$7,AU16&gt;0.0001),"BREACH","OK")</f>
        <v>OK</v>
      </c>
      <c r="AV52" s="49" t="str">
        <f>IF(AND(AV$3&lt;Assumptions!$B$7,AV16&gt;0.0001),"BREACH","OK")</f>
        <v>OK</v>
      </c>
      <c r="AW52" s="49" t="str">
        <f>IF(AND(AW$3&lt;Assumptions!$B$7,AW16&gt;0.0001),"BREACH","OK")</f>
        <v>OK</v>
      </c>
      <c r="AX52" s="49" t="str">
        <f>IF(AND(AX$3&lt;Assumptions!$B$7,AX16&gt;0.0001),"BREACH","OK")</f>
        <v>OK</v>
      </c>
      <c r="AY52" s="49" t="str">
        <f>IF(AND(AY$3&lt;Assumptions!$B$7,AY16&gt;0.0001),"BREACH","OK")</f>
        <v>OK</v>
      </c>
      <c r="AZ52" s="49" t="str">
        <f>IF(AND(AZ$3&lt;Assumptions!$B$7,AZ16&gt;0.0001),"BREACH","OK")</f>
        <v>OK</v>
      </c>
      <c r="BA52" s="49" t="str">
        <f>IF(AND(BA$3&lt;Assumptions!$B$7,BA16&gt;0.0001),"BREACH","OK")</f>
        <v>OK</v>
      </c>
      <c r="BB52" s="49" t="str">
        <f>IF(AND(BB$3&lt;Assumptions!$B$7,BB16&gt;0.0001),"BREACH","OK")</f>
        <v>OK</v>
      </c>
      <c r="BC52" s="49" t="str">
        <f>IF(AND(BC$3&lt;Assumptions!$B$7,BC16&gt;0.0001),"BREACH","OK")</f>
        <v>OK</v>
      </c>
      <c r="BD52" s="49" t="str">
        <f>IF(AND(BD$3&lt;Assumptions!$B$7,BD16&gt;0.0001),"BREACH","OK")</f>
        <v>OK</v>
      </c>
      <c r="BE52" s="49" t="str">
        <f>IF(AND(BE$3&lt;Assumptions!$B$7,BE16&gt;0.0001),"BREACH","OK")</f>
        <v>OK</v>
      </c>
      <c r="BF52" s="49" t="str">
        <f>IF(AND(BF$3&lt;Assumptions!$B$7,BF16&gt;0.0001),"BREACH","OK")</f>
        <v>OK</v>
      </c>
      <c r="BG52" s="49" t="str">
        <f>IF(AND(BG$3&lt;Assumptions!$B$7,BG16&gt;0.0001),"BREACH","OK")</f>
        <v>OK</v>
      </c>
      <c r="BH52" s="49" t="str">
        <f>IF(AND(BH$3&lt;Assumptions!$B$7,BH16&gt;0.0001),"BREACH","OK")</f>
        <v>OK</v>
      </c>
      <c r="BI52" s="50" t="str">
        <f>IF(AND(BI$3&lt;Assumptions!$B$7,BI16&gt;0.0001),"BREACH","OK")</f>
        <v>OK</v>
      </c>
    </row>
    <row r="53" spans="1:61" ht="15">
      <c r="A53" s="36" t="s">
        <v>323</v>
      </c>
      <c r="B53" s="47">
        <f t="shared" ref="B53:AG53" si="48">B46-(B13+B44)</f>
        <v>0</v>
      </c>
      <c r="C53" s="47">
        <f t="shared" si="48"/>
        <v>0</v>
      </c>
      <c r="D53" s="47">
        <f t="shared" si="48"/>
        <v>0</v>
      </c>
      <c r="E53" s="47">
        <f t="shared" si="48"/>
        <v>0</v>
      </c>
      <c r="F53" s="47">
        <f t="shared" si="48"/>
        <v>0</v>
      </c>
      <c r="G53" s="47">
        <f t="shared" si="48"/>
        <v>0</v>
      </c>
      <c r="H53" s="47">
        <f t="shared" si="48"/>
        <v>0</v>
      </c>
      <c r="I53" s="47">
        <f t="shared" si="48"/>
        <v>0</v>
      </c>
      <c r="J53" s="47">
        <f t="shared" si="48"/>
        <v>0</v>
      </c>
      <c r="K53" s="47">
        <f t="shared" si="48"/>
        <v>0</v>
      </c>
      <c r="L53" s="47">
        <f t="shared" si="48"/>
        <v>0</v>
      </c>
      <c r="M53" s="47">
        <f t="shared" si="48"/>
        <v>0</v>
      </c>
      <c r="N53" s="47">
        <f t="shared" si="48"/>
        <v>0</v>
      </c>
      <c r="O53" s="47">
        <f t="shared" si="48"/>
        <v>0</v>
      </c>
      <c r="P53" s="47">
        <f t="shared" si="48"/>
        <v>0</v>
      </c>
      <c r="Q53" s="47">
        <f t="shared" si="48"/>
        <v>0</v>
      </c>
      <c r="R53" s="47">
        <f t="shared" si="48"/>
        <v>0</v>
      </c>
      <c r="S53" s="47">
        <f t="shared" si="48"/>
        <v>0</v>
      </c>
      <c r="T53" s="47">
        <f t="shared" si="48"/>
        <v>0</v>
      </c>
      <c r="U53" s="47">
        <f t="shared" si="48"/>
        <v>0</v>
      </c>
      <c r="V53" s="47">
        <f t="shared" si="48"/>
        <v>0</v>
      </c>
      <c r="W53" s="47">
        <f t="shared" si="48"/>
        <v>0</v>
      </c>
      <c r="X53" s="47">
        <f t="shared" si="48"/>
        <v>0</v>
      </c>
      <c r="Y53" s="47">
        <f t="shared" si="48"/>
        <v>0</v>
      </c>
      <c r="Z53" s="47">
        <f t="shared" si="48"/>
        <v>0</v>
      </c>
      <c r="AA53" s="47">
        <f t="shared" si="48"/>
        <v>0</v>
      </c>
      <c r="AB53" s="47">
        <f t="shared" si="48"/>
        <v>0</v>
      </c>
      <c r="AC53" s="47">
        <f t="shared" si="48"/>
        <v>0</v>
      </c>
      <c r="AD53" s="47">
        <f t="shared" si="48"/>
        <v>0</v>
      </c>
      <c r="AE53" s="47">
        <f t="shared" si="48"/>
        <v>0</v>
      </c>
      <c r="AF53" s="47">
        <f t="shared" si="48"/>
        <v>0</v>
      </c>
      <c r="AG53" s="47">
        <f t="shared" si="48"/>
        <v>0</v>
      </c>
      <c r="AH53" s="47">
        <f t="shared" ref="AH53:BI53" si="49">AH46-(AH13+AH44)</f>
        <v>0</v>
      </c>
      <c r="AI53" s="47">
        <f t="shared" si="49"/>
        <v>0</v>
      </c>
      <c r="AJ53" s="47">
        <f t="shared" si="49"/>
        <v>0</v>
      </c>
      <c r="AK53" s="47">
        <f t="shared" si="49"/>
        <v>0</v>
      </c>
      <c r="AL53" s="47">
        <f t="shared" si="49"/>
        <v>0</v>
      </c>
      <c r="AM53" s="47">
        <f t="shared" si="49"/>
        <v>0</v>
      </c>
      <c r="AN53" s="47">
        <f t="shared" si="49"/>
        <v>0</v>
      </c>
      <c r="AO53" s="47">
        <f t="shared" si="49"/>
        <v>0</v>
      </c>
      <c r="AP53" s="47">
        <f t="shared" si="49"/>
        <v>0</v>
      </c>
      <c r="AQ53" s="47">
        <f t="shared" si="49"/>
        <v>0</v>
      </c>
      <c r="AR53" s="47">
        <f t="shared" si="49"/>
        <v>0</v>
      </c>
      <c r="AS53" s="47">
        <f t="shared" si="49"/>
        <v>0</v>
      </c>
      <c r="AT53" s="47">
        <f t="shared" si="49"/>
        <v>0</v>
      </c>
      <c r="AU53" s="47">
        <f t="shared" si="49"/>
        <v>0</v>
      </c>
      <c r="AV53" s="47">
        <f t="shared" si="49"/>
        <v>0</v>
      </c>
      <c r="AW53" s="47">
        <f t="shared" si="49"/>
        <v>0</v>
      </c>
      <c r="AX53" s="47">
        <f t="shared" si="49"/>
        <v>0</v>
      </c>
      <c r="AY53" s="47">
        <f t="shared" si="49"/>
        <v>0</v>
      </c>
      <c r="AZ53" s="47">
        <f t="shared" si="49"/>
        <v>0</v>
      </c>
      <c r="BA53" s="47">
        <f t="shared" si="49"/>
        <v>0</v>
      </c>
      <c r="BB53" s="47">
        <f t="shared" si="49"/>
        <v>0</v>
      </c>
      <c r="BC53" s="47">
        <f t="shared" si="49"/>
        <v>0</v>
      </c>
      <c r="BD53" s="47">
        <f t="shared" si="49"/>
        <v>0</v>
      </c>
      <c r="BE53" s="47">
        <f t="shared" si="49"/>
        <v>0</v>
      </c>
      <c r="BF53" s="47">
        <f t="shared" si="49"/>
        <v>0</v>
      </c>
      <c r="BG53" s="47">
        <f t="shared" si="49"/>
        <v>0</v>
      </c>
      <c r="BH53" s="47">
        <f t="shared" si="49"/>
        <v>0</v>
      </c>
      <c r="BI53" s="48">
        <f t="shared" si="49"/>
        <v>0</v>
      </c>
    </row>
    <row r="54" spans="1:61" ht="15">
      <c r="A54" s="36" t="s">
        <v>324</v>
      </c>
      <c r="B54" s="49" t="str">
        <f>IF(B49&gt;=Assumptions!$B$13,"OK","Check")</f>
        <v>OK</v>
      </c>
      <c r="C54" s="49" t="str">
        <f>IF(C49&gt;=Assumptions!$B$13,"OK","Check")</f>
        <v>OK</v>
      </c>
      <c r="D54" s="49" t="str">
        <f>IF(D49&gt;=Assumptions!$B$13,"OK","Check")</f>
        <v>OK</v>
      </c>
      <c r="E54" s="49" t="str">
        <f>IF(E49&gt;=Assumptions!$B$13,"OK","Check")</f>
        <v>OK</v>
      </c>
      <c r="F54" s="49" t="str">
        <f>IF(F49&gt;=Assumptions!$B$13,"OK","Check")</f>
        <v>OK</v>
      </c>
      <c r="G54" s="49" t="str">
        <f>IF(G49&gt;=Assumptions!$B$13,"OK","Check")</f>
        <v>OK</v>
      </c>
      <c r="H54" s="49" t="str">
        <f>IF(H49&gt;=Assumptions!$B$13,"OK","Check")</f>
        <v>OK</v>
      </c>
      <c r="I54" s="49" t="str">
        <f>IF(I49&gt;=Assumptions!$B$13,"OK","Check")</f>
        <v>OK</v>
      </c>
      <c r="J54" s="49" t="str">
        <f>IF(J49&gt;=Assumptions!$B$13,"OK","Check")</f>
        <v>OK</v>
      </c>
      <c r="K54" s="49" t="str">
        <f>IF(K49&gt;=Assumptions!$B$13,"OK","Check")</f>
        <v>OK</v>
      </c>
      <c r="L54" s="49" t="str">
        <f>IF(L49&gt;=Assumptions!$B$13,"OK","Check")</f>
        <v>OK</v>
      </c>
      <c r="M54" s="49" t="str">
        <f>IF(M49&gt;=Assumptions!$B$13,"OK","Check")</f>
        <v>OK</v>
      </c>
      <c r="N54" s="49" t="str">
        <f>IF(N49&gt;=Assumptions!$B$13,"OK","Check")</f>
        <v>OK</v>
      </c>
      <c r="O54" s="49" t="str">
        <f>IF(O49&gt;=Assumptions!$B$13,"OK","Check")</f>
        <v>OK</v>
      </c>
      <c r="P54" s="49" t="str">
        <f>IF(P49&gt;=Assumptions!$B$13,"OK","Check")</f>
        <v>OK</v>
      </c>
      <c r="Q54" s="49" t="str">
        <f>IF(Q49&gt;=Assumptions!$B$13,"OK","Check")</f>
        <v>OK</v>
      </c>
      <c r="R54" s="49" t="str">
        <f>IF(R49&gt;=Assumptions!$B$13,"OK","Check")</f>
        <v>OK</v>
      </c>
      <c r="S54" s="49" t="str">
        <f>IF(S49&gt;=Assumptions!$B$13,"OK","Check")</f>
        <v>OK</v>
      </c>
      <c r="T54" s="49" t="str">
        <f>IF(T49&gt;=Assumptions!$B$13,"OK","Check")</f>
        <v>OK</v>
      </c>
      <c r="U54" s="49" t="str">
        <f>IF(U49&gt;=Assumptions!$B$13,"OK","Check")</f>
        <v>OK</v>
      </c>
      <c r="V54" s="49" t="str">
        <f>IF(V49&gt;=Assumptions!$B$13,"OK","Check")</f>
        <v>OK</v>
      </c>
      <c r="W54" s="49" t="str">
        <f>IF(W49&gt;=Assumptions!$B$13,"OK","Check")</f>
        <v>OK</v>
      </c>
      <c r="X54" s="49" t="str">
        <f>IF(X49&gt;=Assumptions!$B$13,"OK","Check")</f>
        <v>OK</v>
      </c>
      <c r="Y54" s="49" t="str">
        <f>IF(Y49&gt;=Assumptions!$B$13,"OK","Check")</f>
        <v>OK</v>
      </c>
      <c r="Z54" s="49" t="str">
        <f>IF(Z49&gt;=Assumptions!$B$13,"OK","Check")</f>
        <v>OK</v>
      </c>
      <c r="AA54" s="49" t="str">
        <f>IF(AA49&gt;=Assumptions!$B$13,"OK","Check")</f>
        <v>OK</v>
      </c>
      <c r="AB54" s="49" t="str">
        <f>IF(AB49&gt;=Assumptions!$B$13,"OK","Check")</f>
        <v>OK</v>
      </c>
      <c r="AC54" s="49" t="str">
        <f>IF(AC49&gt;=Assumptions!$B$13,"OK","Check")</f>
        <v>OK</v>
      </c>
      <c r="AD54" s="49" t="str">
        <f>IF(AD49&gt;=Assumptions!$B$13,"OK","Check")</f>
        <v>OK</v>
      </c>
      <c r="AE54" s="49" t="str">
        <f>IF(AE49&gt;=Assumptions!$B$13,"OK","Check")</f>
        <v>OK</v>
      </c>
      <c r="AF54" s="49" t="str">
        <f>IF(AF49&gt;=Assumptions!$B$13,"OK","Check")</f>
        <v>OK</v>
      </c>
      <c r="AG54" s="49" t="str">
        <f>IF(AG49&gt;=Assumptions!$B$13,"OK","Check")</f>
        <v>OK</v>
      </c>
      <c r="AH54" s="49" t="str">
        <f>IF(AH49&gt;=Assumptions!$B$13,"OK","Check")</f>
        <v>OK</v>
      </c>
      <c r="AI54" s="49" t="str">
        <f>IF(AI49&gt;=Assumptions!$B$13,"OK","Check")</f>
        <v>OK</v>
      </c>
      <c r="AJ54" s="49" t="str">
        <f>IF(AJ49&gt;=Assumptions!$B$13,"OK","Check")</f>
        <v>OK</v>
      </c>
      <c r="AK54" s="49" t="str">
        <f>IF(AK49&gt;=Assumptions!$B$13,"OK","Check")</f>
        <v>OK</v>
      </c>
      <c r="AL54" s="49" t="str">
        <f>IF(AL49&gt;=Assumptions!$B$13,"OK","Check")</f>
        <v>OK</v>
      </c>
      <c r="AM54" s="49" t="str">
        <f>IF(AM49&gt;=Assumptions!$B$13,"OK","Check")</f>
        <v>OK</v>
      </c>
      <c r="AN54" s="49" t="str">
        <f>IF(AN49&gt;=Assumptions!$B$13,"OK","Check")</f>
        <v>OK</v>
      </c>
      <c r="AO54" s="49" t="str">
        <f>IF(AO49&gt;=Assumptions!$B$13,"OK","Check")</f>
        <v>OK</v>
      </c>
      <c r="AP54" s="49" t="str">
        <f>IF(AP49&gt;=Assumptions!$B$13,"OK","Check")</f>
        <v>OK</v>
      </c>
      <c r="AQ54" s="49" t="str">
        <f>IF(AQ49&gt;=Assumptions!$B$13,"OK","Check")</f>
        <v>OK</v>
      </c>
      <c r="AR54" s="49" t="str">
        <f>IF(AR49&gt;=Assumptions!$B$13,"OK","Check")</f>
        <v>OK</v>
      </c>
      <c r="AS54" s="49" t="str">
        <f>IF(AS49&gt;=Assumptions!$B$13,"OK","Check")</f>
        <v>OK</v>
      </c>
      <c r="AT54" s="49" t="str">
        <f>IF(AT49&gt;=Assumptions!$B$13,"OK","Check")</f>
        <v>OK</v>
      </c>
      <c r="AU54" s="49" t="str">
        <f>IF(AU49&gt;=Assumptions!$B$13,"OK","Check")</f>
        <v>OK</v>
      </c>
      <c r="AV54" s="49" t="str">
        <f>IF(AV49&gt;=Assumptions!$B$13,"OK","Check")</f>
        <v>OK</v>
      </c>
      <c r="AW54" s="49" t="str">
        <f>IF(AW49&gt;=Assumptions!$B$13,"OK","Check")</f>
        <v>OK</v>
      </c>
      <c r="AX54" s="49" t="str">
        <f>IF(AX49&gt;=Assumptions!$B$13,"OK","Check")</f>
        <v>OK</v>
      </c>
      <c r="AY54" s="49" t="str">
        <f>IF(AY49&gt;=Assumptions!$B$13,"OK","Check")</f>
        <v>OK</v>
      </c>
      <c r="AZ54" s="49" t="str">
        <f>IF(AZ49&gt;=Assumptions!$B$13,"OK","Check")</f>
        <v>OK</v>
      </c>
      <c r="BA54" s="49" t="str">
        <f>IF(BA49&gt;=Assumptions!$B$13,"OK","Check")</f>
        <v>OK</v>
      </c>
      <c r="BB54" s="49" t="str">
        <f>IF(BB49&gt;=Assumptions!$B$13,"OK","Check")</f>
        <v>OK</v>
      </c>
      <c r="BC54" s="49" t="str">
        <f>IF(BC49&gt;=Assumptions!$B$13,"OK","Check")</f>
        <v>OK</v>
      </c>
      <c r="BD54" s="49" t="str">
        <f>IF(BD49&gt;=Assumptions!$B$13,"OK","Check")</f>
        <v>OK</v>
      </c>
      <c r="BE54" s="49" t="str">
        <f>IF(BE49&gt;=Assumptions!$B$13,"OK","Check")</f>
        <v>OK</v>
      </c>
      <c r="BF54" s="49" t="str">
        <f>IF(BF49&gt;=Assumptions!$B$13,"OK","Check")</f>
        <v>OK</v>
      </c>
      <c r="BG54" s="49" t="str">
        <f>IF(BG49&gt;=Assumptions!$B$13,"OK","Check")</f>
        <v>OK</v>
      </c>
      <c r="BH54" s="49" t="str">
        <f>IF(BH49&gt;=Assumptions!$B$13,"OK","Check")</f>
        <v>OK</v>
      </c>
      <c r="BI54" s="50" t="str">
        <f>IF(BI49&gt;=Assumptions!$B$13,"OK","Check")</f>
        <v>OK</v>
      </c>
    </row>
    <row r="55" spans="1:61" ht="15">
      <c r="A55" s="41" t="s">
        <v>325</v>
      </c>
      <c r="B55" s="51" t="str">
        <f>IF(B48&gt;=Assumptions!$B$11,"OK","Check")</f>
        <v>OK</v>
      </c>
      <c r="C55" s="51" t="str">
        <f>IF(C48&gt;=Assumptions!$B$11,"OK","Check")</f>
        <v>OK</v>
      </c>
      <c r="D55" s="51" t="str">
        <f>IF(D48&gt;=Assumptions!$B$11,"OK","Check")</f>
        <v>OK</v>
      </c>
      <c r="E55" s="51" t="str">
        <f>IF(E48&gt;=Assumptions!$B$11,"OK","Check")</f>
        <v>OK</v>
      </c>
      <c r="F55" s="51" t="str">
        <f>IF(F48&gt;=Assumptions!$B$11,"OK","Check")</f>
        <v>OK</v>
      </c>
      <c r="G55" s="51" t="str">
        <f>IF(G48&gt;=Assumptions!$B$11,"OK","Check")</f>
        <v>OK</v>
      </c>
      <c r="H55" s="51" t="str">
        <f>IF(H48&gt;=Assumptions!$B$11,"OK","Check")</f>
        <v>OK</v>
      </c>
      <c r="I55" s="51" t="str">
        <f>IF(I48&gt;=Assumptions!$B$11,"OK","Check")</f>
        <v>OK</v>
      </c>
      <c r="J55" s="51" t="str">
        <f>IF(J48&gt;=Assumptions!$B$11,"OK","Check")</f>
        <v>OK</v>
      </c>
      <c r="K55" s="51" t="str">
        <f>IF(K48&gt;=Assumptions!$B$11,"OK","Check")</f>
        <v>OK</v>
      </c>
      <c r="L55" s="51" t="str">
        <f>IF(L48&gt;=Assumptions!$B$11,"OK","Check")</f>
        <v>OK</v>
      </c>
      <c r="M55" s="51" t="str">
        <f>IF(M48&gt;=Assumptions!$B$11,"OK","Check")</f>
        <v>OK</v>
      </c>
      <c r="N55" s="51" t="str">
        <f>IF(N48&gt;=Assumptions!$B$11,"OK","Check")</f>
        <v>OK</v>
      </c>
      <c r="O55" s="51" t="str">
        <f>IF(O48&gt;=Assumptions!$B$11,"OK","Check")</f>
        <v>OK</v>
      </c>
      <c r="P55" s="51" t="str">
        <f>IF(P48&gt;=Assumptions!$B$11,"OK","Check")</f>
        <v>OK</v>
      </c>
      <c r="Q55" s="51" t="str">
        <f>IF(Q48&gt;=Assumptions!$B$11,"OK","Check")</f>
        <v>OK</v>
      </c>
      <c r="R55" s="51" t="str">
        <f>IF(R48&gt;=Assumptions!$B$11,"OK","Check")</f>
        <v>OK</v>
      </c>
      <c r="S55" s="51" t="str">
        <f>IF(S48&gt;=Assumptions!$B$11,"OK","Check")</f>
        <v>OK</v>
      </c>
      <c r="T55" s="51" t="str">
        <f>IF(T48&gt;=Assumptions!$B$11,"OK","Check")</f>
        <v>OK</v>
      </c>
      <c r="U55" s="51" t="str">
        <f>IF(U48&gt;=Assumptions!$B$11,"OK","Check")</f>
        <v>OK</v>
      </c>
      <c r="V55" s="51" t="str">
        <f>IF(V48&gt;=Assumptions!$B$11,"OK","Check")</f>
        <v>OK</v>
      </c>
      <c r="W55" s="51" t="str">
        <f>IF(W48&gt;=Assumptions!$B$11,"OK","Check")</f>
        <v>OK</v>
      </c>
      <c r="X55" s="51" t="str">
        <f>IF(X48&gt;=Assumptions!$B$11,"OK","Check")</f>
        <v>OK</v>
      </c>
      <c r="Y55" s="51" t="str">
        <f>IF(Y48&gt;=Assumptions!$B$11,"OK","Check")</f>
        <v>OK</v>
      </c>
      <c r="Z55" s="51" t="str">
        <f>IF(Z48&gt;=Assumptions!$B$11,"OK","Check")</f>
        <v>OK</v>
      </c>
      <c r="AA55" s="51" t="str">
        <f>IF(AA48&gt;=Assumptions!$B$11,"OK","Check")</f>
        <v>OK</v>
      </c>
      <c r="AB55" s="51" t="str">
        <f>IF(AB48&gt;=Assumptions!$B$11,"OK","Check")</f>
        <v>OK</v>
      </c>
      <c r="AC55" s="51" t="str">
        <f>IF(AC48&gt;=Assumptions!$B$11,"OK","Check")</f>
        <v>OK</v>
      </c>
      <c r="AD55" s="51" t="str">
        <f>IF(AD48&gt;=Assumptions!$B$11,"OK","Check")</f>
        <v>OK</v>
      </c>
      <c r="AE55" s="51" t="str">
        <f>IF(AE48&gt;=Assumptions!$B$11,"OK","Check")</f>
        <v>OK</v>
      </c>
      <c r="AF55" s="51" t="str">
        <f>IF(AF48&gt;=Assumptions!$B$11,"OK","Check")</f>
        <v>OK</v>
      </c>
      <c r="AG55" s="51" t="str">
        <f>IF(AG48&gt;=Assumptions!$B$11,"OK","Check")</f>
        <v>OK</v>
      </c>
      <c r="AH55" s="51" t="str">
        <f>IF(AH48&gt;=Assumptions!$B$11,"OK","Check")</f>
        <v>OK</v>
      </c>
      <c r="AI55" s="51" t="str">
        <f>IF(AI48&gt;=Assumptions!$B$11,"OK","Check")</f>
        <v>OK</v>
      </c>
      <c r="AJ55" s="51" t="str">
        <f>IF(AJ48&gt;=Assumptions!$B$11,"OK","Check")</f>
        <v>OK</v>
      </c>
      <c r="AK55" s="51" t="str">
        <f>IF(AK48&gt;=Assumptions!$B$11,"OK","Check")</f>
        <v>OK</v>
      </c>
      <c r="AL55" s="51" t="str">
        <f>IF(AL48&gt;=Assumptions!$B$11,"OK","Check")</f>
        <v>OK</v>
      </c>
      <c r="AM55" s="51" t="str">
        <f>IF(AM48&gt;=Assumptions!$B$11,"OK","Check")</f>
        <v>OK</v>
      </c>
      <c r="AN55" s="51" t="str">
        <f>IF(AN48&gt;=Assumptions!$B$11,"OK","Check")</f>
        <v>OK</v>
      </c>
      <c r="AO55" s="51" t="str">
        <f>IF(AO48&gt;=Assumptions!$B$11,"OK","Check")</f>
        <v>OK</v>
      </c>
      <c r="AP55" s="51" t="str">
        <f>IF(AP48&gt;=Assumptions!$B$11,"OK","Check")</f>
        <v>OK</v>
      </c>
      <c r="AQ55" s="51" t="str">
        <f>IF(AQ48&gt;=Assumptions!$B$11,"OK","Check")</f>
        <v>OK</v>
      </c>
      <c r="AR55" s="51" t="str">
        <f>IF(AR48&gt;=Assumptions!$B$11,"OK","Check")</f>
        <v>OK</v>
      </c>
      <c r="AS55" s="51" t="str">
        <f>IF(AS48&gt;=Assumptions!$B$11,"OK","Check")</f>
        <v>OK</v>
      </c>
      <c r="AT55" s="51" t="str">
        <f>IF(AT48&gt;=Assumptions!$B$11,"OK","Check")</f>
        <v>OK</v>
      </c>
      <c r="AU55" s="51" t="str">
        <f>IF(AU48&gt;=Assumptions!$B$11,"OK","Check")</f>
        <v>OK</v>
      </c>
      <c r="AV55" s="51" t="str">
        <f>IF(AV48&gt;=Assumptions!$B$11,"OK","Check")</f>
        <v>OK</v>
      </c>
      <c r="AW55" s="51" t="str">
        <f>IF(AW48&gt;=Assumptions!$B$11,"OK","Check")</f>
        <v>OK</v>
      </c>
      <c r="AX55" s="51" t="str">
        <f>IF(AX48&gt;=Assumptions!$B$11,"OK","Check")</f>
        <v>OK</v>
      </c>
      <c r="AY55" s="51" t="str">
        <f>IF(AY48&gt;=Assumptions!$B$11,"OK","Check")</f>
        <v>OK</v>
      </c>
      <c r="AZ55" s="51" t="str">
        <f>IF(AZ48&gt;=Assumptions!$B$11,"OK","Check")</f>
        <v>OK</v>
      </c>
      <c r="BA55" s="51" t="str">
        <f>IF(BA48&gt;=Assumptions!$B$11,"OK","Check")</f>
        <v>OK</v>
      </c>
      <c r="BB55" s="51" t="str">
        <f>IF(BB48&gt;=Assumptions!$B$11,"OK","Check")</f>
        <v>OK</v>
      </c>
      <c r="BC55" s="51" t="str">
        <f>IF(BC48&gt;=Assumptions!$B$11,"OK","Check")</f>
        <v>OK</v>
      </c>
      <c r="BD55" s="51" t="str">
        <f>IF(BD48&gt;=Assumptions!$B$11,"OK","Check")</f>
        <v>OK</v>
      </c>
      <c r="BE55" s="51" t="str">
        <f>IF(BE48&gt;=Assumptions!$B$11,"OK","Check")</f>
        <v>OK</v>
      </c>
      <c r="BF55" s="51" t="str">
        <f>IF(BF48&gt;=Assumptions!$B$11,"OK","Check")</f>
        <v>OK</v>
      </c>
      <c r="BG55" s="51" t="str">
        <f>IF(BG48&gt;=Assumptions!$B$11,"OK","Check")</f>
        <v>OK</v>
      </c>
      <c r="BH55" s="51" t="str">
        <f>IF(BH48&gt;=Assumptions!$B$11,"OK","Check")</f>
        <v>OK</v>
      </c>
      <c r="BI55" s="52" t="str">
        <f>IF(BI48&gt;=Assumptions!$B$11,"OK","Check")</f>
        <v>OK</v>
      </c>
    </row>
  </sheetData>
  <mergeCells count="2">
    <mergeCell ref="A1:BI1"/>
    <mergeCell ref="A2:BI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3"/>
  <sheetViews>
    <sheetView topLeftCell="A13" workbookViewId="0">
      <selection sqref="A1:XFD1048576"/>
    </sheetView>
  </sheetViews>
  <sheetFormatPr defaultColWidth="8.875" defaultRowHeight="14.25"/>
  <cols>
    <col min="1" max="1" width="44" style="1" customWidth="1"/>
    <col min="2" max="6" width="16" style="1" customWidth="1"/>
    <col min="7" max="16384" width="8.875" style="1"/>
  </cols>
  <sheetData>
    <row r="1" spans="1:6" ht="27.95" customHeight="1">
      <c r="A1" s="130" t="s">
        <v>326</v>
      </c>
      <c r="B1" s="129"/>
      <c r="C1" s="129"/>
      <c r="D1" s="129"/>
      <c r="E1" s="129"/>
      <c r="F1" s="129"/>
    </row>
    <row r="2" spans="1:6" ht="35.1" customHeight="1">
      <c r="A2" s="128" t="s">
        <v>327</v>
      </c>
      <c r="B2" s="129"/>
      <c r="C2" s="129"/>
      <c r="D2" s="129"/>
      <c r="E2" s="129"/>
      <c r="F2" s="129"/>
    </row>
    <row r="3" spans="1:6" ht="41.25" customHeight="1">
      <c r="A3" s="33" t="s">
        <v>264</v>
      </c>
      <c r="B3" s="34" t="s">
        <v>224</v>
      </c>
      <c r="C3" s="34" t="s">
        <v>225</v>
      </c>
      <c r="D3" s="34" t="s">
        <v>226</v>
      </c>
      <c r="E3" s="34" t="s">
        <v>227</v>
      </c>
      <c r="F3" s="35" t="s">
        <v>228</v>
      </c>
    </row>
    <row r="4" spans="1:6" ht="15">
      <c r="A4" s="36" t="s">
        <v>328</v>
      </c>
      <c r="B4" s="45">
        <f>Monthly_Model!B$4</f>
        <v>46235</v>
      </c>
      <c r="C4" s="45">
        <f>Monthly_Model!N$4</f>
        <v>46600</v>
      </c>
      <c r="D4" s="45">
        <f>Monthly_Model!Z$4</f>
        <v>46966</v>
      </c>
      <c r="E4" s="45">
        <f>Monthly_Model!AL$4</f>
        <v>47331</v>
      </c>
      <c r="F4" s="46">
        <f>Monthly_Model!AX$4</f>
        <v>47696</v>
      </c>
    </row>
    <row r="5" spans="1:6" ht="15">
      <c r="A5" s="36" t="s">
        <v>329</v>
      </c>
      <c r="B5" s="45">
        <f>Monthly_Model!M$4</f>
        <v>46569</v>
      </c>
      <c r="C5" s="45">
        <f>Monthly_Model!Y$4</f>
        <v>46935</v>
      </c>
      <c r="D5" s="45">
        <f>Monthly_Model!AK$4</f>
        <v>47300</v>
      </c>
      <c r="E5" s="45">
        <f>Monthly_Model!AW$4</f>
        <v>47665</v>
      </c>
      <c r="F5" s="46">
        <f>Monthly_Model!BI$4</f>
        <v>48030</v>
      </c>
    </row>
    <row r="6" spans="1:6" ht="15">
      <c r="A6" s="36" t="s">
        <v>330</v>
      </c>
      <c r="B6" s="37">
        <f>Monthly_Model!M$8</f>
        <v>60000</v>
      </c>
      <c r="C6" s="37">
        <f>Monthly_Model!Y$8</f>
        <v>95000</v>
      </c>
      <c r="D6" s="37">
        <f>Monthly_Model!AK$8</f>
        <v>140000</v>
      </c>
      <c r="E6" s="37">
        <f>Monthly_Model!AW$8</f>
        <v>200000</v>
      </c>
      <c r="F6" s="38">
        <f>Monthly_Model!BI$8</f>
        <v>260000</v>
      </c>
    </row>
    <row r="7" spans="1:6" ht="15">
      <c r="A7" s="36" t="s">
        <v>282</v>
      </c>
      <c r="B7" s="37">
        <f>SUM(Monthly_Model!B9:M9)</f>
        <v>60000</v>
      </c>
      <c r="C7" s="37">
        <f>SUM(Monthly_Model!N9:Y9)</f>
        <v>35000</v>
      </c>
      <c r="D7" s="37">
        <f>SUM(Monthly_Model!Z9:AK9)</f>
        <v>45000</v>
      </c>
      <c r="E7" s="37">
        <f>SUM(Monthly_Model!AL9:AW9)</f>
        <v>60000</v>
      </c>
      <c r="F7" s="38">
        <f>SUM(Monthly_Model!AX9:BI9)</f>
        <v>60000</v>
      </c>
    </row>
    <row r="8" spans="1:6" ht="15">
      <c r="A8" s="36" t="s">
        <v>331</v>
      </c>
      <c r="B8" s="37">
        <f>Market_Calibration!B$10</f>
        <v>3244853.9531836291</v>
      </c>
      <c r="C8" s="37">
        <f>Market_Calibration!C$10</f>
        <v>4417327.8482673122</v>
      </c>
      <c r="D8" s="37">
        <f>Market_Calibration!D$10</f>
        <v>5637614.6663511563</v>
      </c>
      <c r="E8" s="37">
        <f>Market_Calibration!E$10</f>
        <v>6907205.489213435</v>
      </c>
      <c r="F8" s="38">
        <f>Market_Calibration!F$10</f>
        <v>7413910.9995888118</v>
      </c>
    </row>
    <row r="9" spans="1:6" ht="15">
      <c r="A9" s="36" t="s">
        <v>272</v>
      </c>
      <c r="B9" s="39">
        <f>IF(B8&gt;0,B6/B8,0)</f>
        <v>1.8490816802750738E-2</v>
      </c>
      <c r="C9" s="39">
        <f>IF(C8&gt;0,C6/C8,0)</f>
        <v>2.1506214449820281E-2</v>
      </c>
      <c r="D9" s="39">
        <f>IF(D8&gt;0,D6/D8,0)</f>
        <v>2.4833197776997492E-2</v>
      </c>
      <c r="E9" s="39">
        <f>IF(E8&gt;0,E6/E8,0)</f>
        <v>2.8955270016554149E-2</v>
      </c>
      <c r="F9" s="40">
        <f>IF(F8&gt;0,F6/F8,0)</f>
        <v>3.5069209761813977E-2</v>
      </c>
    </row>
    <row r="10" spans="1:6" ht="15">
      <c r="A10" s="36" t="s">
        <v>332</v>
      </c>
      <c r="B10" s="47">
        <f>Monthly_Model!M$13</f>
        <v>48</v>
      </c>
      <c r="C10" s="47">
        <f>Monthly_Model!Y$13</f>
        <v>85.5</v>
      </c>
      <c r="D10" s="47">
        <f>Monthly_Model!AK$13</f>
        <v>140</v>
      </c>
      <c r="E10" s="47">
        <f>Monthly_Model!AW$13</f>
        <v>220</v>
      </c>
      <c r="F10" s="48">
        <f>Monthly_Model!BI$13</f>
        <v>312</v>
      </c>
    </row>
    <row r="11" spans="1:6" ht="15">
      <c r="A11" s="36" t="s">
        <v>333</v>
      </c>
      <c r="B11" s="47">
        <f>Monthly_Model!M$16</f>
        <v>0</v>
      </c>
      <c r="C11" s="47">
        <f>Monthly_Model!Y$16</f>
        <v>10.26</v>
      </c>
      <c r="D11" s="47">
        <f>Monthly_Model!AK$16</f>
        <v>35</v>
      </c>
      <c r="E11" s="47">
        <f>Monthly_Model!AW$16</f>
        <v>77</v>
      </c>
      <c r="F11" s="48">
        <f>Monthly_Model!BI$16</f>
        <v>124.80000000000001</v>
      </c>
    </row>
    <row r="12" spans="1:6" ht="15">
      <c r="A12" s="36" t="s">
        <v>295</v>
      </c>
      <c r="B12" s="47">
        <f>SUM(Monthly_Model!B25:M25)</f>
        <v>3.80155625</v>
      </c>
      <c r="C12" s="47">
        <f>SUM(Monthly_Model!N25:Y25)</f>
        <v>10.396238222222221</v>
      </c>
      <c r="D12" s="47">
        <f>SUM(Monthly_Model!Z25:AK25)</f>
        <v>19.771958009259258</v>
      </c>
      <c r="E12" s="47">
        <f>SUM(Monthly_Model!AL25:AW25)</f>
        <v>31.357329444444446</v>
      </c>
      <c r="F12" s="48">
        <f>SUM(Monthly_Model!AX25:BI25)</f>
        <v>45.457817222222218</v>
      </c>
    </row>
    <row r="13" spans="1:6" ht="15">
      <c r="A13" s="36" t="s">
        <v>284</v>
      </c>
      <c r="B13" s="47">
        <f>SUM(Monthly_Model!B11:M11)</f>
        <v>2.0436000000000001</v>
      </c>
      <c r="C13" s="47">
        <f>SUM(Monthly_Model!N11:Y11)</f>
        <v>5.1136575000000004</v>
      </c>
      <c r="D13" s="47">
        <f>SUM(Monthly_Model!Z11:AK11)</f>
        <v>7.9632674999999971</v>
      </c>
      <c r="E13" s="47">
        <f>SUM(Monthly_Model!AL11:AW11)</f>
        <v>11.852819999999998</v>
      </c>
      <c r="F13" s="48">
        <f>SUM(Monthly_Model!AX11:BI11)</f>
        <v>16.455419999999997</v>
      </c>
    </row>
    <row r="14" spans="1:6" ht="15">
      <c r="A14" s="36" t="s">
        <v>291</v>
      </c>
      <c r="B14" s="47">
        <f>SUM(Monthly_Model!B19:M19)</f>
        <v>0</v>
      </c>
      <c r="C14" s="47">
        <f>SUM(Monthly_Model!N19:Y19)</f>
        <v>0.63061250000000002</v>
      </c>
      <c r="D14" s="47">
        <f>SUM(Monthly_Model!Z19:AK19)</f>
        <v>4.1778729166666668</v>
      </c>
      <c r="E14" s="47">
        <f>SUM(Monthly_Model!AL19:AW19)</f>
        <v>9.6993749999999999</v>
      </c>
      <c r="F14" s="48">
        <f>SUM(Monthly_Model!AX19:BI19)</f>
        <v>16.44125</v>
      </c>
    </row>
    <row r="15" spans="1:6" ht="15">
      <c r="A15" s="36" t="s">
        <v>294</v>
      </c>
      <c r="B15" s="47">
        <f>SUM(Monthly_Model!B24:M24)</f>
        <v>1.7579562499999999</v>
      </c>
      <c r="C15" s="47">
        <f>SUM(Monthly_Model!N24:Y24)</f>
        <v>4.6519682222222221</v>
      </c>
      <c r="D15" s="47">
        <f>SUM(Monthly_Model!Z24:AK24)</f>
        <v>7.6308175925925941</v>
      </c>
      <c r="E15" s="47">
        <f>SUM(Monthly_Model!AL24:AW24)</f>
        <v>9.8051344444444428</v>
      </c>
      <c r="F15" s="48">
        <f>SUM(Monthly_Model!AX24:BI24)</f>
        <v>12.561147222222223</v>
      </c>
    </row>
    <row r="16" spans="1:6" ht="15">
      <c r="A16" s="36" t="s">
        <v>293</v>
      </c>
      <c r="B16" s="47">
        <f>SUM(Monthly_Model!B22:M22)</f>
        <v>0.10919999999999999</v>
      </c>
      <c r="C16" s="47">
        <f>SUM(Monthly_Model!N22:Y22)</f>
        <v>0.42637500000000006</v>
      </c>
      <c r="D16" s="47">
        <f>SUM(Monthly_Model!Z22:AK22)</f>
        <v>1.0743750000000001</v>
      </c>
      <c r="E16" s="47">
        <f>SUM(Monthly_Model!AL22:AW22)</f>
        <v>2.3718749999999997</v>
      </c>
      <c r="F16" s="48">
        <f>SUM(Monthly_Model!AX22:BI22)</f>
        <v>4.6035000000000004</v>
      </c>
    </row>
    <row r="17" spans="1:6" ht="15">
      <c r="A17" s="36" t="s">
        <v>334</v>
      </c>
      <c r="B17" s="47">
        <f>SUM(Monthly_Model!B26:M26)</f>
        <v>3.69235625</v>
      </c>
      <c r="C17" s="47">
        <f>SUM(Monthly_Model!N26:Y26)</f>
        <v>9.9698632222222212</v>
      </c>
      <c r="D17" s="47">
        <f>SUM(Monthly_Model!Z26:AK26)</f>
        <v>18.697583009259262</v>
      </c>
      <c r="E17" s="47">
        <f>SUM(Monthly_Model!AL26:AW26)</f>
        <v>28.985454444444446</v>
      </c>
      <c r="F17" s="48">
        <f>SUM(Monthly_Model!AX26:BI26)</f>
        <v>40.854317222222221</v>
      </c>
    </row>
    <row r="18" spans="1:6" ht="15">
      <c r="A18" s="36" t="s">
        <v>297</v>
      </c>
      <c r="B18" s="47">
        <f>SUM(Monthly_Model!B27:M27)</f>
        <v>9.7096</v>
      </c>
      <c r="C18" s="47">
        <f>SUM(Monthly_Model!N27:Y27)</f>
        <v>11.357099999999997</v>
      </c>
      <c r="D18" s="47">
        <f>SUM(Monthly_Model!Z27:AK27)</f>
        <v>12.848000000000006</v>
      </c>
      <c r="E18" s="47">
        <f>SUM(Monthly_Model!AL27:AW27)</f>
        <v>14.423999999999999</v>
      </c>
      <c r="F18" s="48">
        <f>SUM(Monthly_Model!AX27:BI27)</f>
        <v>16.092400000000001</v>
      </c>
    </row>
    <row r="19" spans="1:6" ht="15">
      <c r="A19" s="36" t="s">
        <v>298</v>
      </c>
      <c r="B19" s="47">
        <f>SUM(Monthly_Model!B28:M28)</f>
        <v>0.35099999999999998</v>
      </c>
      <c r="C19" s="47">
        <f>SUM(Monthly_Model!N28:Y28)</f>
        <v>0.90012500000000006</v>
      </c>
      <c r="D19" s="47">
        <f>SUM(Monthly_Model!Z28:AK28)</f>
        <v>1.4325000000000001</v>
      </c>
      <c r="E19" s="47">
        <f>SUM(Monthly_Model!AL28:AW28)</f>
        <v>2.1735000000000002</v>
      </c>
      <c r="F19" s="48">
        <f>SUM(Monthly_Model!AX28:BI28)</f>
        <v>3.069</v>
      </c>
    </row>
    <row r="20" spans="1:6" ht="15">
      <c r="A20" s="36" t="s">
        <v>299</v>
      </c>
      <c r="B20" s="47">
        <f>SUM(Monthly_Model!B29:M29)</f>
        <v>0.8999999999999998</v>
      </c>
      <c r="C20" s="47">
        <f>SUM(Monthly_Model!N29:Y29)</f>
        <v>0.48999999999999988</v>
      </c>
      <c r="D20" s="47">
        <f>SUM(Monthly_Model!Z29:AK29)</f>
        <v>0.58500000000000008</v>
      </c>
      <c r="E20" s="47">
        <f>SUM(Monthly_Model!AL29:AW29)</f>
        <v>0.7200000000000002</v>
      </c>
      <c r="F20" s="48">
        <f>SUM(Monthly_Model!AX29:BI29)</f>
        <v>0.66000000000000014</v>
      </c>
    </row>
    <row r="21" spans="1:6" ht="27.75" customHeight="1">
      <c r="A21" s="36" t="s">
        <v>308</v>
      </c>
      <c r="B21" s="47">
        <f>SUM(Monthly_Model!B38:M38)</f>
        <v>-7.2682437499999999</v>
      </c>
      <c r="C21" s="47">
        <f>SUM(Monthly_Model!N38:Y38)</f>
        <v>-2.7773617777777737</v>
      </c>
      <c r="D21" s="47">
        <f>SUM(Monthly_Model!Z38:AK38)</f>
        <v>3.8320830092592564</v>
      </c>
      <c r="E21" s="47">
        <f>SUM(Monthly_Model!AL38:AW38)</f>
        <v>11.667954444444444</v>
      </c>
      <c r="F21" s="48">
        <f>SUM(Monthly_Model!AX38:BI38)</f>
        <v>21.03291722222222</v>
      </c>
    </row>
    <row r="22" spans="1:6" ht="15">
      <c r="A22" s="36" t="s">
        <v>305</v>
      </c>
      <c r="B22" s="47">
        <f>SUM(Monthly_Model!B35:M35)</f>
        <v>3.6724999999999999</v>
      </c>
      <c r="C22" s="47">
        <f>SUM(Monthly_Model!N35:Y35)</f>
        <v>8.4411666666666711</v>
      </c>
      <c r="D22" s="47">
        <f>SUM(Monthly_Model!Z35:AK35)</f>
        <v>10.95883333333334</v>
      </c>
      <c r="E22" s="47">
        <f>SUM(Monthly_Model!AL35:AW35)</f>
        <v>12.940000000000001</v>
      </c>
      <c r="F22" s="48">
        <f>SUM(Monthly_Model!AX35:BI35)</f>
        <v>14.859999999999994</v>
      </c>
    </row>
    <row r="23" spans="1:6" ht="15">
      <c r="A23" s="36" t="s">
        <v>335</v>
      </c>
      <c r="B23" s="47">
        <f>ECL_Module!C26</f>
        <v>0</v>
      </c>
      <c r="C23" s="47">
        <f>ECL_Module!D26</f>
        <v>0.19219031999999997</v>
      </c>
      <c r="D23" s="47">
        <f>ECL_Module!E26</f>
        <v>0.80194968000000011</v>
      </c>
      <c r="E23" s="47">
        <f>ECL_Module!F26</f>
        <v>1.6400300000000001</v>
      </c>
      <c r="F23" s="48">
        <f>ECL_Module!G26</f>
        <v>2.3826003040000008</v>
      </c>
    </row>
    <row r="24" spans="1:6" ht="15">
      <c r="A24" s="36" t="s">
        <v>309</v>
      </c>
      <c r="B24" s="47">
        <f>B21-B22-B23</f>
        <v>-10.940743749999999</v>
      </c>
      <c r="C24" s="47">
        <f>C21-C22-C23</f>
        <v>-11.410718764444445</v>
      </c>
      <c r="D24" s="47">
        <f>D21-D22-D23</f>
        <v>-7.9287000040740834</v>
      </c>
      <c r="E24" s="47">
        <f>E21-E22-E23</f>
        <v>-2.9120755555555577</v>
      </c>
      <c r="F24" s="48">
        <f>F21-F22-F23</f>
        <v>3.7903169182222256</v>
      </c>
    </row>
    <row r="25" spans="1:6" ht="15">
      <c r="A25" s="36" t="s">
        <v>310</v>
      </c>
      <c r="B25" s="47">
        <f>MAX(0,B24*Assumptions!$B$8)</f>
        <v>0</v>
      </c>
      <c r="C25" s="47">
        <f>MAX(0,C24*Assumptions!$B$8)</f>
        <v>0</v>
      </c>
      <c r="D25" s="47">
        <f>MAX(0,D24*Assumptions!$B$8)</f>
        <v>0</v>
      </c>
      <c r="E25" s="47">
        <f>MAX(0,E24*Assumptions!$B$8)</f>
        <v>0</v>
      </c>
      <c r="F25" s="48">
        <f>MAX(0,F24*Assumptions!$B$8)</f>
        <v>0.56854753773333377</v>
      </c>
    </row>
    <row r="26" spans="1:6" ht="15">
      <c r="A26" s="36" t="s">
        <v>311</v>
      </c>
      <c r="B26" s="47">
        <f>B24-B25</f>
        <v>-10.940743749999999</v>
      </c>
      <c r="C26" s="47">
        <f>C24-C25</f>
        <v>-11.410718764444445</v>
      </c>
      <c r="D26" s="47">
        <f>D24-D25</f>
        <v>-7.9287000040740834</v>
      </c>
      <c r="E26" s="47">
        <f>E24-E25</f>
        <v>-2.9120755555555577</v>
      </c>
      <c r="F26" s="48">
        <f>F24-F25</f>
        <v>3.2217693804888921</v>
      </c>
    </row>
    <row r="27" spans="1:6" ht="15">
      <c r="A27" s="36" t="s">
        <v>303</v>
      </c>
      <c r="B27" s="47">
        <f>SUM(Monthly_Model!B33:M33)</f>
        <v>33.9</v>
      </c>
      <c r="C27" s="47">
        <f>SUM(Monthly_Model!N33:Y33)</f>
        <v>15.299999999999997</v>
      </c>
      <c r="D27" s="47">
        <f>SUM(Monthly_Model!Z33:AK33)</f>
        <v>10.3</v>
      </c>
      <c r="E27" s="47">
        <f>SUM(Monthly_Model!AL33:AW33)</f>
        <v>9.6</v>
      </c>
      <c r="F27" s="48">
        <f>SUM(Monthly_Model!AX33:BI33)</f>
        <v>9.6</v>
      </c>
    </row>
    <row r="28" spans="1:6" ht="15">
      <c r="A28" s="36" t="s">
        <v>336</v>
      </c>
      <c r="B28" s="47">
        <f>Monthly_Model!M$34</f>
        <v>33.9</v>
      </c>
      <c r="C28" s="47">
        <f>Monthly_Model!Y$34</f>
        <v>49.200000000000031</v>
      </c>
      <c r="D28" s="47">
        <f>Monthly_Model!AK$34</f>
        <v>59.500000000000021</v>
      </c>
      <c r="E28" s="47">
        <f>Monthly_Model!AW$34</f>
        <v>69.099999999999994</v>
      </c>
      <c r="F28" s="48">
        <f>Monthly_Model!BI$34</f>
        <v>78.69999999999996</v>
      </c>
    </row>
    <row r="29" spans="1:6" ht="15">
      <c r="A29" s="36" t="s">
        <v>337</v>
      </c>
      <c r="B29" s="47">
        <f>Monthly_Model!M$36</f>
        <v>30.227499999999999</v>
      </c>
      <c r="C29" s="47">
        <f>Monthly_Model!Y$36</f>
        <v>37.08633333333335</v>
      </c>
      <c r="D29" s="47">
        <f>Monthly_Model!AK$36</f>
        <v>36.427500000000009</v>
      </c>
      <c r="E29" s="47">
        <f>Monthly_Model!AW$36</f>
        <v>33.087499999999977</v>
      </c>
      <c r="F29" s="48">
        <f>Monthly_Model!BI$36</f>
        <v>27.827499999999976</v>
      </c>
    </row>
    <row r="30" spans="1:6" ht="15">
      <c r="A30" s="36" t="s">
        <v>338</v>
      </c>
      <c r="B30" s="47">
        <f>Monthly_Model!M$42</f>
        <v>30</v>
      </c>
      <c r="C30" s="47">
        <f>Monthly_Model!Y$42</f>
        <v>65</v>
      </c>
      <c r="D30" s="47">
        <f>Monthly_Model!AK$42</f>
        <v>100</v>
      </c>
      <c r="E30" s="47">
        <f>Monthly_Model!AW$42</f>
        <v>100</v>
      </c>
      <c r="F30" s="48">
        <f>Monthly_Model!BI$42</f>
        <v>100</v>
      </c>
    </row>
    <row r="31" spans="1:6" ht="15">
      <c r="A31" s="36" t="s">
        <v>339</v>
      </c>
      <c r="B31" s="47">
        <f>B26</f>
        <v>-10.940743749999999</v>
      </c>
      <c r="C31" s="47">
        <f>B31+C26</f>
        <v>-22.351462514444442</v>
      </c>
      <c r="D31" s="47">
        <f>C31+D26</f>
        <v>-30.280162518518527</v>
      </c>
      <c r="E31" s="47">
        <f>D31+E26</f>
        <v>-33.192238074074083</v>
      </c>
      <c r="F31" s="48">
        <f>E31+F26</f>
        <v>-29.97046869358519</v>
      </c>
    </row>
    <row r="32" spans="1:6" ht="15">
      <c r="A32" s="36" t="s">
        <v>340</v>
      </c>
      <c r="B32" s="47">
        <f>B30+B31</f>
        <v>19.059256250000001</v>
      </c>
      <c r="C32" s="47">
        <f>C30+C31</f>
        <v>42.648537485555558</v>
      </c>
      <c r="D32" s="47">
        <f>D30+D31</f>
        <v>69.719837481481477</v>
      </c>
      <c r="E32" s="47">
        <f>E30+E31</f>
        <v>66.807761925925917</v>
      </c>
      <c r="F32" s="48">
        <f>F30+F31</f>
        <v>70.02953130641481</v>
      </c>
    </row>
    <row r="33" spans="1:6" ht="15">
      <c r="A33" s="36" t="s">
        <v>341</v>
      </c>
      <c r="B33" s="47">
        <f>FS_Cash_Flows!C31</f>
        <v>36.831756250000005</v>
      </c>
      <c r="C33" s="47">
        <f>FS_Cash_Flows!D31</f>
        <v>80.99439447222224</v>
      </c>
      <c r="D33" s="47">
        <f>FS_Cash_Flows!E31</f>
        <v>139.28647748148148</v>
      </c>
      <c r="E33" s="47">
        <f>FS_Cash_Flows!F31</f>
        <v>179.35443192592592</v>
      </c>
      <c r="F33" s="48">
        <f>FS_Cash_Flows!G31</f>
        <v>234.41880161041479</v>
      </c>
    </row>
    <row r="34" spans="1:6" ht="15">
      <c r="A34" s="36" t="s">
        <v>342</v>
      </c>
      <c r="B34" s="47">
        <f>FS_Balance_Sheet!C13</f>
        <v>67.059256250000004</v>
      </c>
      <c r="C34" s="47">
        <f>FS_Balance_Sheet!D13</f>
        <v>128.15338533555558</v>
      </c>
      <c r="D34" s="47">
        <f>FS_Balance_Sheet!E13</f>
        <v>209.74229068148151</v>
      </c>
      <c r="E34" s="47">
        <f>FS_Balance_Sheet!F13</f>
        <v>286.87179512592593</v>
      </c>
      <c r="F34" s="48">
        <f>FS_Balance_Sheet!G13</f>
        <v>382.15218474641478</v>
      </c>
    </row>
    <row r="35" spans="1:6" ht="15">
      <c r="A35" s="36" t="s">
        <v>343</v>
      </c>
      <c r="B35" s="47">
        <f>Monthly_Model!M$47</f>
        <v>31.916139999999999</v>
      </c>
      <c r="C35" s="47">
        <f>Monthly_Model!Y$47</f>
        <v>46.72084833333335</v>
      </c>
      <c r="D35" s="47">
        <f>Monthly_Model!AK$47</f>
        <v>64.944450000000003</v>
      </c>
      <c r="E35" s="47">
        <f>Monthly_Model!AW$47</f>
        <v>93.487099999999984</v>
      </c>
      <c r="F35" s="48">
        <f>Monthly_Model!BI$47</f>
        <v>124.45515999999998</v>
      </c>
    </row>
    <row r="36" spans="1:6" ht="15">
      <c r="A36" s="36" t="s">
        <v>318</v>
      </c>
      <c r="B36" s="39">
        <f>IFERROR(B32/B35,0)</f>
        <v>0.59716670781617076</v>
      </c>
      <c r="C36" s="39">
        <f>IFERROR(C32/C35,0)</f>
        <v>0.9128373950163835</v>
      </c>
      <c r="D36" s="39">
        <f>IFERROR(D32/D35,0)</f>
        <v>1.0735303398747926</v>
      </c>
      <c r="E36" s="39">
        <f>IFERROR(E32/E35,0)</f>
        <v>0.71462011257088864</v>
      </c>
      <c r="F36" s="40">
        <f>IFERROR(F32/F35,0)</f>
        <v>0.56268885361133136</v>
      </c>
    </row>
    <row r="37" spans="1:6" ht="15">
      <c r="A37" s="36" t="s">
        <v>319</v>
      </c>
      <c r="B37" s="39">
        <f>Monthly_Model!M$49</f>
        <v>3.2611450846354164</v>
      </c>
      <c r="C37" s="39">
        <f>Monthly_Model!Y$49</f>
        <v>4.0226786269087071</v>
      </c>
      <c r="D37" s="39">
        <f>Monthly_Model!AK$49</f>
        <v>4.2105441947503301</v>
      </c>
      <c r="E37" s="39">
        <f>Monthly_Model!AW$49</f>
        <v>3.4284194551741369</v>
      </c>
      <c r="F37" s="40">
        <f>Monthly_Model!BI$49</f>
        <v>3.1346985297207004</v>
      </c>
    </row>
    <row r="38" spans="1:6" ht="15">
      <c r="A38" s="36" t="s">
        <v>320</v>
      </c>
      <c r="B38" s="39">
        <f>Monthly_Model!M$50</f>
        <v>1.4245060375485901</v>
      </c>
      <c r="C38" s="39">
        <f>Monthly_Model!Y$50</f>
        <v>1.8670190110875013</v>
      </c>
      <c r="D38" s="39">
        <f>Monthly_Model!AK$50</f>
        <v>2.1174535054434132</v>
      </c>
      <c r="E38" s="39">
        <f>Monthly_Model!AW$50</f>
        <v>1.801939614242557</v>
      </c>
      <c r="F38" s="40">
        <f>Monthly_Model!BI$50</f>
        <v>1.6933424258367265</v>
      </c>
    </row>
    <row r="39" spans="1:6" ht="15">
      <c r="A39" s="36" t="s">
        <v>321</v>
      </c>
      <c r="B39" s="39">
        <f>Monthly_Model!M$51</f>
        <v>0</v>
      </c>
      <c r="C39" s="39">
        <f>Monthly_Model!Y$51</f>
        <v>0.12</v>
      </c>
      <c r="D39" s="39">
        <f>Monthly_Model!AK$51</f>
        <v>0.25</v>
      </c>
      <c r="E39" s="39">
        <f>Monthly_Model!AW$51</f>
        <v>0.35</v>
      </c>
      <c r="F39" s="40">
        <f>Monthly_Model!BI$51</f>
        <v>0.4</v>
      </c>
    </row>
    <row r="40" spans="1:6" ht="15">
      <c r="A40" s="36" t="s">
        <v>322</v>
      </c>
      <c r="B40" s="49" t="str">
        <f>IF(COUNTIF(Monthly_Model!B52:M52,"BREACH")&gt;0,"BREACH","OK")</f>
        <v>OK</v>
      </c>
      <c r="C40" s="49" t="str">
        <f>IF(COUNTIF(Monthly_Model!N52:Y52,"BREACH")&gt;0,"BREACH","OK")</f>
        <v>OK</v>
      </c>
      <c r="D40" s="49" t="str">
        <f>IF(COUNTIF(Monthly_Model!Z52:AK52,"BREACH")&gt;0,"BREACH","OK")</f>
        <v>OK</v>
      </c>
      <c r="E40" s="49" t="str">
        <f>IF(COUNTIF(Monthly_Model!AL52:AW52,"BREACH")&gt;0,"BREACH","OK")</f>
        <v>OK</v>
      </c>
      <c r="F40" s="50" t="str">
        <f>IF(COUNTIF(Monthly_Model!AX52:BI52,"BREACH")&gt;0,"BREACH","OK")</f>
        <v>OK</v>
      </c>
    </row>
    <row r="41" spans="1:6" ht="15">
      <c r="A41" s="36" t="s">
        <v>344</v>
      </c>
      <c r="B41" s="47">
        <f>ABS(Monthly_Model!M$53)</f>
        <v>0</v>
      </c>
      <c r="C41" s="47">
        <f>ABS(Monthly_Model!Y$53)</f>
        <v>0</v>
      </c>
      <c r="D41" s="47">
        <f>ABS(Monthly_Model!AK$53)</f>
        <v>0</v>
      </c>
      <c r="E41" s="47">
        <f>ABS(Monthly_Model!AW$53)</f>
        <v>0</v>
      </c>
      <c r="F41" s="48">
        <f>ABS(Monthly_Model!BI$53)</f>
        <v>0</v>
      </c>
    </row>
    <row r="42" spans="1:6" ht="15">
      <c r="A42" s="36" t="s">
        <v>345</v>
      </c>
      <c r="B42" s="49" t="str">
        <f>IF(B36&gt;=Assumptions!$B$11,"OK","Check")</f>
        <v>OK</v>
      </c>
      <c r="C42" s="49" t="str">
        <f>IF(C36&gt;=Assumptions!$B$11,"OK","Check")</f>
        <v>OK</v>
      </c>
      <c r="D42" s="49" t="str">
        <f>IF(D36&gt;=Assumptions!$B$11,"OK","Check")</f>
        <v>OK</v>
      </c>
      <c r="E42" s="49" t="str">
        <f>IF(E36&gt;=Assumptions!$B$11,"OK","Check")</f>
        <v>OK</v>
      </c>
      <c r="F42" s="50" t="str">
        <f>IF(F36&gt;=Assumptions!$B$11,"OK","Check")</f>
        <v>OK</v>
      </c>
    </row>
    <row r="43" spans="1:6" ht="15">
      <c r="A43" s="41" t="s">
        <v>346</v>
      </c>
      <c r="B43" s="51" t="str">
        <f>IF(B37&gt;=Assumptions!$B$13,"OK","Check")</f>
        <v>OK</v>
      </c>
      <c r="C43" s="51" t="str">
        <f>IF(C37&gt;=Assumptions!$B$13,"OK","Check")</f>
        <v>OK</v>
      </c>
      <c r="D43" s="51" t="str">
        <f>IF(D37&gt;=Assumptions!$B$13,"OK","Check")</f>
        <v>OK</v>
      </c>
      <c r="E43" s="51" t="str">
        <f>IF(E37&gt;=Assumptions!$B$13,"OK","Check")</f>
        <v>OK</v>
      </c>
      <c r="F43" s="52" t="str">
        <f>IF(F37&gt;=Assumptions!$B$13,"OK","Check")</f>
        <v>OK</v>
      </c>
    </row>
  </sheetData>
  <mergeCells count="2">
    <mergeCell ref="A2:F2"/>
    <mergeCell ref="A1:F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M17"/>
  <sheetViews>
    <sheetView topLeftCell="A6" workbookViewId="0">
      <selection sqref="A1:XFD1048576"/>
    </sheetView>
  </sheetViews>
  <sheetFormatPr defaultColWidth="8.875" defaultRowHeight="14.25"/>
  <cols>
    <col min="1" max="1" width="24" style="1" customWidth="1"/>
    <col min="2" max="7" width="14" style="1" customWidth="1"/>
    <col min="8" max="8" width="20" style="1" customWidth="1"/>
    <col min="9" max="13" width="14" style="1" customWidth="1"/>
    <col min="14" max="16384" width="8.875" style="1"/>
  </cols>
  <sheetData>
    <row r="1" spans="1:13" ht="27.95" customHeight="1">
      <c r="A1" s="130" t="s">
        <v>347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</row>
    <row r="2" spans="1:13" ht="35.1" customHeight="1">
      <c r="A2" s="128" t="s">
        <v>348</v>
      </c>
      <c r="B2" s="129"/>
      <c r="C2" s="129"/>
      <c r="D2" s="129"/>
      <c r="E2" s="129"/>
      <c r="F2" s="129"/>
      <c r="G2" s="129"/>
      <c r="H2" s="129"/>
      <c r="I2" s="129"/>
      <c r="J2" s="129"/>
      <c r="K2" s="129"/>
      <c r="L2" s="129"/>
      <c r="M2" s="129"/>
    </row>
    <row r="3" spans="1:13" ht="15">
      <c r="A3" s="33" t="s">
        <v>349</v>
      </c>
      <c r="B3" s="34" t="s">
        <v>350</v>
      </c>
      <c r="C3" s="34" t="s">
        <v>351</v>
      </c>
      <c r="D3" s="34" t="s">
        <v>352</v>
      </c>
      <c r="E3" s="34" t="s">
        <v>353</v>
      </c>
      <c r="F3" s="34" t="s">
        <v>354</v>
      </c>
      <c r="G3" s="34"/>
      <c r="H3" s="34" t="s">
        <v>355</v>
      </c>
      <c r="I3" s="34" t="s">
        <v>350</v>
      </c>
      <c r="J3" s="34" t="s">
        <v>351</v>
      </c>
      <c r="K3" s="34" t="s">
        <v>352</v>
      </c>
      <c r="L3" s="34" t="s">
        <v>353</v>
      </c>
      <c r="M3" s="35" t="s">
        <v>354</v>
      </c>
    </row>
    <row r="4" spans="1:13" ht="30">
      <c r="A4" s="36" t="s">
        <v>281</v>
      </c>
      <c r="B4" s="37">
        <f>Annual_Summary!B6</f>
        <v>60000</v>
      </c>
      <c r="C4" s="37">
        <f>Annual_Summary!C6</f>
        <v>95000</v>
      </c>
      <c r="D4" s="37">
        <f>Annual_Summary!D6</f>
        <v>140000</v>
      </c>
      <c r="E4" s="37">
        <f>Annual_Summary!E6</f>
        <v>200000</v>
      </c>
      <c r="F4" s="37">
        <f>Annual_Summary!F6</f>
        <v>260000</v>
      </c>
      <c r="G4" s="53"/>
      <c r="H4" s="54" t="s">
        <v>318</v>
      </c>
      <c r="I4" s="39">
        <f>Annual_Summary!B36</f>
        <v>0.59716670781617076</v>
      </c>
      <c r="J4" s="39">
        <f>Annual_Summary!C36</f>
        <v>0.9128373950163835</v>
      </c>
      <c r="K4" s="39">
        <f>Annual_Summary!D36</f>
        <v>1.0735303398747926</v>
      </c>
      <c r="L4" s="39">
        <f>Annual_Summary!E36</f>
        <v>0.71462011257088864</v>
      </c>
      <c r="M4" s="40">
        <f>Annual_Summary!F36</f>
        <v>0.56268885361133136</v>
      </c>
    </row>
    <row r="5" spans="1:13" ht="15">
      <c r="A5" s="36" t="s">
        <v>356</v>
      </c>
      <c r="B5" s="47">
        <f>Annual_Summary!B10</f>
        <v>48</v>
      </c>
      <c r="C5" s="47">
        <f>Annual_Summary!C10</f>
        <v>85.5</v>
      </c>
      <c r="D5" s="47">
        <f>Annual_Summary!D10</f>
        <v>140</v>
      </c>
      <c r="E5" s="47">
        <f>Annual_Summary!E10</f>
        <v>220</v>
      </c>
      <c r="F5" s="47">
        <f>Annual_Summary!F10</f>
        <v>312</v>
      </c>
      <c r="G5" s="53"/>
      <c r="H5" s="54" t="s">
        <v>319</v>
      </c>
      <c r="I5" s="39">
        <f>Annual_Summary!B37</f>
        <v>3.2611450846354164</v>
      </c>
      <c r="J5" s="39">
        <f>Annual_Summary!C37</f>
        <v>4.0226786269087071</v>
      </c>
      <c r="K5" s="39">
        <f>Annual_Summary!D37</f>
        <v>4.2105441947503301</v>
      </c>
      <c r="L5" s="39">
        <f>Annual_Summary!E37</f>
        <v>3.4284194551741369</v>
      </c>
      <c r="M5" s="40">
        <f>Annual_Summary!F37</f>
        <v>3.1346985297207004</v>
      </c>
    </row>
    <row r="6" spans="1:13" ht="27.75" customHeight="1">
      <c r="A6" s="36" t="s">
        <v>357</v>
      </c>
      <c r="B6" s="47">
        <f>Annual_Summary!B11</f>
        <v>0</v>
      </c>
      <c r="C6" s="47">
        <f>Annual_Summary!C11</f>
        <v>10.26</v>
      </c>
      <c r="D6" s="47">
        <f>Annual_Summary!D11</f>
        <v>35</v>
      </c>
      <c r="E6" s="47">
        <f>Annual_Summary!E11</f>
        <v>77</v>
      </c>
      <c r="F6" s="47">
        <f>Annual_Summary!F11</f>
        <v>124.80000000000001</v>
      </c>
      <c r="G6" s="53"/>
      <c r="H6" s="54" t="s">
        <v>320</v>
      </c>
      <c r="I6" s="39">
        <f>Annual_Summary!B38</f>
        <v>1.4245060375485901</v>
      </c>
      <c r="J6" s="39">
        <f>Annual_Summary!C38</f>
        <v>1.8670190110875013</v>
      </c>
      <c r="K6" s="39">
        <f>Annual_Summary!D38</f>
        <v>2.1174535054434132</v>
      </c>
      <c r="L6" s="39">
        <f>Annual_Summary!E38</f>
        <v>1.801939614242557</v>
      </c>
      <c r="M6" s="40">
        <f>Annual_Summary!F38</f>
        <v>1.6933424258367265</v>
      </c>
    </row>
    <row r="7" spans="1:13" ht="27.75" customHeight="1">
      <c r="A7" s="36" t="s">
        <v>358</v>
      </c>
      <c r="B7" s="47">
        <f>Annual_Summary!B12</f>
        <v>3.80155625</v>
      </c>
      <c r="C7" s="47">
        <f>Annual_Summary!C12</f>
        <v>10.396238222222221</v>
      </c>
      <c r="D7" s="47">
        <f>Annual_Summary!D12</f>
        <v>19.771958009259258</v>
      </c>
      <c r="E7" s="47">
        <f>Annual_Summary!E12</f>
        <v>31.357329444444446</v>
      </c>
      <c r="F7" s="47">
        <f>Annual_Summary!F12</f>
        <v>45.457817222222218</v>
      </c>
      <c r="G7" s="53"/>
      <c r="H7" s="54" t="s">
        <v>359</v>
      </c>
      <c r="I7" s="39">
        <f>Annual_Summary!B39</f>
        <v>0</v>
      </c>
      <c r="J7" s="39">
        <f>Annual_Summary!C39</f>
        <v>0.12</v>
      </c>
      <c r="K7" s="39">
        <f>Annual_Summary!D39</f>
        <v>0.25</v>
      </c>
      <c r="L7" s="39">
        <f>Annual_Summary!E39</f>
        <v>0.35</v>
      </c>
      <c r="M7" s="40">
        <f>Annual_Summary!F39</f>
        <v>0.4</v>
      </c>
    </row>
    <row r="8" spans="1:13" ht="15">
      <c r="A8" s="36" t="s">
        <v>311</v>
      </c>
      <c r="B8" s="47">
        <f>Annual_Summary!B26</f>
        <v>-10.940743749999999</v>
      </c>
      <c r="C8" s="47">
        <f>Annual_Summary!C26</f>
        <v>-11.410718764444445</v>
      </c>
      <c r="D8" s="47">
        <f>Annual_Summary!D26</f>
        <v>-7.9287000040740834</v>
      </c>
      <c r="E8" s="47">
        <f>Annual_Summary!E26</f>
        <v>-2.9120755555555577</v>
      </c>
      <c r="F8" s="47">
        <f>Annual_Summary!F26</f>
        <v>3.2217693804888921</v>
      </c>
      <c r="G8" s="53"/>
      <c r="H8" s="54" t="s">
        <v>360</v>
      </c>
      <c r="I8" s="49" t="str">
        <f>Annual_Summary!B40</f>
        <v>OK</v>
      </c>
      <c r="J8" s="49" t="str">
        <f>Annual_Summary!C40</f>
        <v>OK</v>
      </c>
      <c r="K8" s="49" t="str">
        <f>Annual_Summary!D40</f>
        <v>OK</v>
      </c>
      <c r="L8" s="49" t="str">
        <f>Annual_Summary!E40</f>
        <v>OK</v>
      </c>
      <c r="M8" s="50" t="str">
        <f>Annual_Summary!F40</f>
        <v>OK</v>
      </c>
    </row>
    <row r="9" spans="1:13" ht="27.75" customHeight="1">
      <c r="A9" s="41" t="s">
        <v>315</v>
      </c>
      <c r="B9" s="55">
        <f>Annual_Summary!B33</f>
        <v>36.831756250000005</v>
      </c>
      <c r="C9" s="55">
        <f>Annual_Summary!C33</f>
        <v>80.99439447222224</v>
      </c>
      <c r="D9" s="55">
        <f>Annual_Summary!D33</f>
        <v>139.28647748148148</v>
      </c>
      <c r="E9" s="55">
        <f>Annual_Summary!E33</f>
        <v>179.35443192592592</v>
      </c>
      <c r="F9" s="55">
        <f>Annual_Summary!F33</f>
        <v>234.41880161041479</v>
      </c>
      <c r="G9" s="56"/>
      <c r="H9" s="57" t="s">
        <v>361</v>
      </c>
      <c r="I9" s="55">
        <f>Annual_Summary!B41</f>
        <v>0</v>
      </c>
      <c r="J9" s="55">
        <f>Annual_Summary!C41</f>
        <v>0</v>
      </c>
      <c r="K9" s="55">
        <f>Annual_Summary!D41</f>
        <v>0</v>
      </c>
      <c r="L9" s="55">
        <f>Annual_Summary!E41</f>
        <v>0</v>
      </c>
      <c r="M9" s="58">
        <f>Annual_Summary!F41</f>
        <v>0</v>
      </c>
    </row>
    <row r="10" spans="1:1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</row>
    <row r="11" spans="1:1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</row>
    <row r="12" spans="1:13" ht="21" customHeight="1">
      <c r="A12" s="59" t="s">
        <v>362</v>
      </c>
      <c r="B12" s="59" t="s">
        <v>363</v>
      </c>
      <c r="C12" s="59" t="s">
        <v>364</v>
      </c>
      <c r="D12" s="59" t="s">
        <v>365</v>
      </c>
      <c r="E12" s="60"/>
      <c r="F12" s="60"/>
      <c r="G12" s="2"/>
      <c r="H12" s="61" t="s">
        <v>362</v>
      </c>
      <c r="I12" s="61" t="s">
        <v>318</v>
      </c>
      <c r="J12" s="61" t="s">
        <v>319</v>
      </c>
      <c r="K12" s="61" t="s">
        <v>320</v>
      </c>
      <c r="L12" s="61" t="s">
        <v>359</v>
      </c>
      <c r="M12" s="62"/>
    </row>
    <row r="13" spans="1:13">
      <c r="A13" s="60" t="s">
        <v>350</v>
      </c>
      <c r="B13" s="60">
        <f>Annual_Summary!B12</f>
        <v>3.80155625</v>
      </c>
      <c r="C13" s="60">
        <f>Annual_Summary!B26</f>
        <v>-10.940743749999999</v>
      </c>
      <c r="D13" s="60">
        <f>Annual_Summary!B10</f>
        <v>48</v>
      </c>
      <c r="E13" s="60"/>
      <c r="F13" s="60"/>
      <c r="G13" s="2"/>
      <c r="H13" s="62" t="s">
        <v>350</v>
      </c>
      <c r="I13" s="62">
        <f>Annual_Summary!B36</f>
        <v>0.59716670781617076</v>
      </c>
      <c r="J13" s="62">
        <f>Annual_Summary!B37</f>
        <v>3.2611450846354164</v>
      </c>
      <c r="K13" s="62">
        <f>Annual_Summary!B38</f>
        <v>1.4245060375485901</v>
      </c>
      <c r="L13" s="62">
        <f>Annual_Summary!B39</f>
        <v>0</v>
      </c>
      <c r="M13" s="62"/>
    </row>
    <row r="14" spans="1:13">
      <c r="A14" s="60" t="s">
        <v>351</v>
      </c>
      <c r="B14" s="60">
        <f>Annual_Summary!C12</f>
        <v>10.396238222222221</v>
      </c>
      <c r="C14" s="60">
        <f>Annual_Summary!C26</f>
        <v>-11.410718764444445</v>
      </c>
      <c r="D14" s="60">
        <f>Annual_Summary!C10</f>
        <v>85.5</v>
      </c>
      <c r="E14" s="60"/>
      <c r="F14" s="60"/>
      <c r="G14" s="2"/>
      <c r="H14" s="62" t="s">
        <v>351</v>
      </c>
      <c r="I14" s="62">
        <f>Annual_Summary!C36</f>
        <v>0.9128373950163835</v>
      </c>
      <c r="J14" s="62">
        <f>Annual_Summary!C37</f>
        <v>4.0226786269087071</v>
      </c>
      <c r="K14" s="62">
        <f>Annual_Summary!C38</f>
        <v>1.8670190110875013</v>
      </c>
      <c r="L14" s="62">
        <f>Annual_Summary!C39</f>
        <v>0.12</v>
      </c>
      <c r="M14" s="62"/>
    </row>
    <row r="15" spans="1:13">
      <c r="A15" s="60" t="s">
        <v>352</v>
      </c>
      <c r="B15" s="60">
        <f>Annual_Summary!D12</f>
        <v>19.771958009259258</v>
      </c>
      <c r="C15" s="60">
        <f>Annual_Summary!D26</f>
        <v>-7.9287000040740834</v>
      </c>
      <c r="D15" s="60">
        <f>Annual_Summary!D10</f>
        <v>140</v>
      </c>
      <c r="E15" s="60"/>
      <c r="F15" s="60"/>
      <c r="G15" s="2"/>
      <c r="H15" s="62" t="s">
        <v>352</v>
      </c>
      <c r="I15" s="62">
        <f>Annual_Summary!D36</f>
        <v>1.0735303398747926</v>
      </c>
      <c r="J15" s="62">
        <f>Annual_Summary!D37</f>
        <v>4.2105441947503301</v>
      </c>
      <c r="K15" s="62">
        <f>Annual_Summary!D38</f>
        <v>2.1174535054434132</v>
      </c>
      <c r="L15" s="62">
        <f>Annual_Summary!D39</f>
        <v>0.25</v>
      </c>
      <c r="M15" s="62"/>
    </row>
    <row r="16" spans="1:13">
      <c r="A16" s="60" t="s">
        <v>353</v>
      </c>
      <c r="B16" s="60">
        <f>Annual_Summary!E12</f>
        <v>31.357329444444446</v>
      </c>
      <c r="C16" s="60">
        <f>Annual_Summary!E26</f>
        <v>-2.9120755555555577</v>
      </c>
      <c r="D16" s="60">
        <f>Annual_Summary!E10</f>
        <v>220</v>
      </c>
      <c r="E16" s="2"/>
      <c r="F16" s="2"/>
      <c r="G16" s="2"/>
      <c r="H16" s="62" t="s">
        <v>353</v>
      </c>
      <c r="I16" s="62">
        <f>Annual_Summary!E36</f>
        <v>0.71462011257088864</v>
      </c>
      <c r="J16" s="62">
        <f>Annual_Summary!E37</f>
        <v>3.4284194551741369</v>
      </c>
      <c r="K16" s="62">
        <f>Annual_Summary!E38</f>
        <v>1.801939614242557</v>
      </c>
      <c r="L16" s="62">
        <f>Annual_Summary!E39</f>
        <v>0.35</v>
      </c>
      <c r="M16" s="62"/>
    </row>
    <row r="17" spans="1:13">
      <c r="A17" s="60" t="s">
        <v>354</v>
      </c>
      <c r="B17" s="60">
        <f>Annual_Summary!F12</f>
        <v>45.457817222222218</v>
      </c>
      <c r="C17" s="60">
        <f>Annual_Summary!F26</f>
        <v>3.2217693804888921</v>
      </c>
      <c r="D17" s="60">
        <f>Annual_Summary!F10</f>
        <v>312</v>
      </c>
      <c r="E17" s="2"/>
      <c r="F17" s="2"/>
      <c r="G17" s="2"/>
      <c r="H17" s="62" t="s">
        <v>354</v>
      </c>
      <c r="I17" s="62">
        <f>Annual_Summary!F36</f>
        <v>0.56268885361133136</v>
      </c>
      <c r="J17" s="62">
        <f>Annual_Summary!F37</f>
        <v>3.1346985297207004</v>
      </c>
      <c r="K17" s="62">
        <f>Annual_Summary!F38</f>
        <v>1.6933424258367265</v>
      </c>
      <c r="L17" s="62">
        <f>Annual_Summary!F39</f>
        <v>0.4</v>
      </c>
      <c r="M17" s="2"/>
    </row>
  </sheetData>
  <mergeCells count="2">
    <mergeCell ref="A2:M2"/>
    <mergeCell ref="A1:M1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K6"/>
  <sheetViews>
    <sheetView workbookViewId="0">
      <selection sqref="A1:XFD1048576"/>
    </sheetView>
  </sheetViews>
  <sheetFormatPr defaultColWidth="8.875" defaultRowHeight="14.25"/>
  <cols>
    <col min="1" max="1" width="18" style="1" customWidth="1"/>
    <col min="2" max="3" width="16" style="1" customWidth="1"/>
    <col min="4" max="4" width="20" style="1" customWidth="1"/>
    <col min="5" max="5" width="22" style="1" customWidth="1"/>
    <col min="6" max="6" width="18" style="1" customWidth="1"/>
    <col min="7" max="8" width="20" style="1" customWidth="1"/>
    <col min="9" max="10" width="22" style="1" customWidth="1"/>
    <col min="11" max="11" width="45" style="1" customWidth="1"/>
    <col min="12" max="16384" width="8.875" style="1"/>
  </cols>
  <sheetData>
    <row r="1" spans="1:11" ht="27.95" customHeight="1">
      <c r="A1" s="130" t="s">
        <v>366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</row>
    <row r="2" spans="1:11" ht="35.1" customHeight="1">
      <c r="A2" s="128" t="s">
        <v>367</v>
      </c>
      <c r="B2" s="129"/>
      <c r="C2" s="129"/>
      <c r="D2" s="129"/>
      <c r="E2" s="129"/>
      <c r="F2" s="129"/>
      <c r="G2" s="129"/>
      <c r="H2" s="129"/>
      <c r="I2" s="129"/>
      <c r="J2" s="129"/>
      <c r="K2" s="129"/>
    </row>
    <row r="3" spans="1:11" ht="40.5" customHeight="1">
      <c r="A3" s="33" t="s">
        <v>368</v>
      </c>
      <c r="B3" s="34" t="s">
        <v>369</v>
      </c>
      <c r="C3" s="34" t="s">
        <v>370</v>
      </c>
      <c r="D3" s="34" t="s">
        <v>371</v>
      </c>
      <c r="E3" s="34" t="s">
        <v>372</v>
      </c>
      <c r="F3" s="34" t="s">
        <v>373</v>
      </c>
      <c r="G3" s="34" t="s">
        <v>374</v>
      </c>
      <c r="H3" s="34" t="s">
        <v>375</v>
      </c>
      <c r="I3" s="34" t="s">
        <v>376</v>
      </c>
      <c r="J3" s="34" t="s">
        <v>377</v>
      </c>
      <c r="K3" s="35" t="s">
        <v>378</v>
      </c>
    </row>
    <row r="4" spans="1:11">
      <c r="A4" s="63" t="s">
        <v>379</v>
      </c>
      <c r="B4" s="64">
        <v>0.75</v>
      </c>
      <c r="C4" s="64">
        <v>0.9</v>
      </c>
      <c r="D4" s="64">
        <v>0.9</v>
      </c>
      <c r="E4" s="64">
        <v>0.85</v>
      </c>
      <c r="F4" s="37">
        <f>Annual_Summary!F6*B4</f>
        <v>195000</v>
      </c>
      <c r="G4" s="47">
        <f>F4*Assumptions!$F$59*D4/1000000000</f>
        <v>210.6</v>
      </c>
      <c r="H4" s="47">
        <f>G4*Assumptions!$F$60*E4</f>
        <v>71.603999999999999</v>
      </c>
      <c r="I4" s="47">
        <f>F4*Assumptions!$F$58*C4*12/1000000000 + H4*Assumptions!$F$61 + MAX(0,(Annual_Summary!F32+G4-H4-Annual_Summary!F29))*Assumptions!$F$69</f>
        <v>32.765283659239991</v>
      </c>
      <c r="J4" s="47">
        <f>I4-(Annual_Summary!F18+Annual_Summary!F19*B4+Annual_Summary!F20*B4+Annual_Summary!F22+Annual_Summary!F23*E4+Annual_Summary!F25)</f>
        <v>-3.5776241368933412</v>
      </c>
      <c r="K4" s="65" t="s">
        <v>380</v>
      </c>
    </row>
    <row r="5" spans="1:11">
      <c r="A5" s="63" t="s">
        <v>381</v>
      </c>
      <c r="B5" s="64">
        <v>1</v>
      </c>
      <c r="C5" s="64">
        <v>1</v>
      </c>
      <c r="D5" s="64">
        <v>1</v>
      </c>
      <c r="E5" s="64">
        <v>1</v>
      </c>
      <c r="F5" s="37">
        <f>Annual_Summary!F6*B5</f>
        <v>260000</v>
      </c>
      <c r="G5" s="47">
        <f>F5*Assumptions!$F$59*D5/1000000000</f>
        <v>312</v>
      </c>
      <c r="H5" s="47">
        <f>G5*Assumptions!$F$60*E5</f>
        <v>124.80000000000001</v>
      </c>
      <c r="I5" s="47">
        <f>F5*Assumptions!$F$58*C5*12/1000000000 + H5*Assumptions!$F$61 + MAX(0,(Annual_Summary!F32+G5-H5-Annual_Summary!F29))*Assumptions!$F$69</f>
        <v>49.28006765923999</v>
      </c>
      <c r="J5" s="47">
        <f>I5-(Annual_Summary!F18+Annual_Summary!F19*B5+Annual_Summary!F20*B5+Annual_Summary!F22+Annual_Summary!F23*E5+Annual_Summary!F25)</f>
        <v>11.647519817506662</v>
      </c>
      <c r="K5" s="65" t="s">
        <v>382</v>
      </c>
    </row>
    <row r="6" spans="1:11">
      <c r="A6" s="66" t="s">
        <v>383</v>
      </c>
      <c r="B6" s="67">
        <v>1.25</v>
      </c>
      <c r="C6" s="67">
        <v>1.1000000000000001</v>
      </c>
      <c r="D6" s="67">
        <v>1.1000000000000001</v>
      </c>
      <c r="E6" s="67">
        <v>1.1499999999999999</v>
      </c>
      <c r="F6" s="42">
        <f>Annual_Summary!F6*B6</f>
        <v>325000</v>
      </c>
      <c r="G6" s="55">
        <f>F6*Assumptions!$F$59*D6/1000000000</f>
        <v>429.00000000000006</v>
      </c>
      <c r="H6" s="55">
        <f>G6*Assumptions!$F$60*E6</f>
        <v>197.34</v>
      </c>
      <c r="I6" s="55">
        <f>F6*Assumptions!$F$58*C6*12/1000000000 + H6*Assumptions!$F$61 + MAX(0,(Annual_Summary!F32+G6-H6-Annual_Summary!F29))*Assumptions!$F$69</f>
        <v>69.418107659239993</v>
      </c>
      <c r="J6" s="55">
        <f>I6-(Annual_Summary!F18+Annual_Summary!F19*B6+Annual_Summary!F20*B6+Annual_Summary!F22+Annual_Summary!F23*E6+Annual_Summary!F25)</f>
        <v>30.495919771906671</v>
      </c>
      <c r="K6" s="68" t="s">
        <v>384</v>
      </c>
    </row>
  </sheetData>
  <mergeCells count="2">
    <mergeCell ref="A2:K2"/>
    <mergeCell ref="A1:K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30"/>
  <sheetViews>
    <sheetView workbookViewId="0">
      <selection activeCell="F14" sqref="F14"/>
    </sheetView>
  </sheetViews>
  <sheetFormatPr defaultColWidth="8.875" defaultRowHeight="14.25"/>
  <cols>
    <col min="1" max="1" width="32" style="1" customWidth="1"/>
    <col min="2" max="2" width="42" style="1" customWidth="1"/>
    <col min="3" max="3" width="18" style="1" customWidth="1"/>
    <col min="4" max="4" width="14" style="1" customWidth="1"/>
    <col min="5" max="16384" width="8.875" style="1"/>
  </cols>
  <sheetData>
    <row r="1" spans="1:7" ht="27.95" customHeight="1">
      <c r="A1" s="130" t="s">
        <v>385</v>
      </c>
      <c r="B1" s="129"/>
      <c r="C1" s="129"/>
      <c r="D1" s="129"/>
      <c r="E1" s="129"/>
      <c r="F1" s="129"/>
      <c r="G1" s="129"/>
    </row>
    <row r="2" spans="1:7" ht="35.1" customHeight="1">
      <c r="A2" s="128" t="s">
        <v>386</v>
      </c>
      <c r="B2" s="129"/>
      <c r="C2" s="129"/>
      <c r="D2" s="129"/>
      <c r="E2" s="129"/>
      <c r="F2" s="129"/>
      <c r="G2" s="129"/>
    </row>
    <row r="3" spans="1:7" ht="15">
      <c r="A3" s="33" t="s">
        <v>387</v>
      </c>
      <c r="B3" s="34" t="s">
        <v>388</v>
      </c>
      <c r="C3" s="34" t="s">
        <v>389</v>
      </c>
      <c r="D3" s="35" t="s">
        <v>390</v>
      </c>
    </row>
    <row r="4" spans="1:7" ht="15">
      <c r="A4" s="63" t="s">
        <v>391</v>
      </c>
      <c r="B4" s="53" t="s">
        <v>392</v>
      </c>
      <c r="C4" s="47">
        <f>COUNTIF(Monthly_Model!B52:BI52,"BREACH")</f>
        <v>0</v>
      </c>
      <c r="D4" s="69" t="str">
        <f>IF(C4=0,"OK","Check")</f>
        <v>OK</v>
      </c>
    </row>
    <row r="5" spans="1:7" ht="15">
      <c r="A5" s="63" t="s">
        <v>393</v>
      </c>
      <c r="B5" s="53" t="s">
        <v>394</v>
      </c>
      <c r="C5" s="47">
        <f>MAX(Monthly_Model!B53:BI53)</f>
        <v>0</v>
      </c>
      <c r="D5" s="69" t="str">
        <f>IF(ABS(C5)&lt;0.01,"OK","Check")</f>
        <v>OK</v>
      </c>
    </row>
    <row r="6" spans="1:7" ht="27.75" customHeight="1">
      <c r="A6" s="63" t="s">
        <v>395</v>
      </c>
      <c r="B6" s="53" t="s">
        <v>396</v>
      </c>
      <c r="C6" s="39">
        <f>MIN(Monthly_Model!B48:BI48)</f>
        <v>0.56848788662303329</v>
      </c>
      <c r="D6" s="69" t="str">
        <f>IF(C6&gt;=Assumptions!$B$11,"OK","Check")</f>
        <v>OK</v>
      </c>
    </row>
    <row r="7" spans="1:7" ht="15">
      <c r="A7" s="63" t="s">
        <v>397</v>
      </c>
      <c r="B7" s="53" t="s">
        <v>398</v>
      </c>
      <c r="C7" s="39">
        <f>MIN(Monthly_Model!B49:BI49)</f>
        <v>3.1290360985795642</v>
      </c>
      <c r="D7" s="69" t="str">
        <f>IF(C7&gt;=Assumptions!$B$13,"OK","Check")</f>
        <v>OK</v>
      </c>
    </row>
    <row r="8" spans="1:7" ht="27.75" customHeight="1">
      <c r="A8" s="63" t="s">
        <v>399</v>
      </c>
      <c r="B8" s="53" t="s">
        <v>400</v>
      </c>
      <c r="C8" s="39">
        <f>MIN(Monthly_Model!B50:BI50)</f>
        <v>1.4245060375485901</v>
      </c>
      <c r="D8" s="69" t="str">
        <f>IF(C8&gt;=Assumptions!$B$14,"OK","Check")</f>
        <v>OK</v>
      </c>
    </row>
    <row r="9" spans="1:7" ht="15">
      <c r="A9" s="66" t="s">
        <v>401</v>
      </c>
      <c r="B9" s="56" t="s">
        <v>402</v>
      </c>
      <c r="C9" s="55">
        <f>MIN(Monthly_Model!B45:BI45)</f>
        <v>30.42824947916667</v>
      </c>
      <c r="D9" s="70" t="str">
        <f>IF(C9&gt;0,"OK","Check")</f>
        <v>OK</v>
      </c>
    </row>
    <row r="10" spans="1:7">
      <c r="A10" s="2"/>
      <c r="B10" s="2"/>
      <c r="C10" s="2"/>
      <c r="D10" s="2"/>
    </row>
    <row r="11" spans="1:7" ht="27.75" customHeight="1">
      <c r="A11" s="2" t="s">
        <v>403</v>
      </c>
      <c r="B11" s="2" t="s">
        <v>404</v>
      </c>
      <c r="C11" s="71">
        <f>MIN(Basel_III_CBI!B13:F13)</f>
        <v>0.33396923929098687</v>
      </c>
      <c r="D11" s="2" t="str">
        <f>IF(C11&gt;=12.5%,"OK","BREACH")</f>
        <v>OK</v>
      </c>
    </row>
    <row r="12" spans="1:7">
      <c r="A12" s="2" t="s">
        <v>405</v>
      </c>
      <c r="B12" s="2" t="s">
        <v>406</v>
      </c>
      <c r="C12" s="71">
        <f>MIN(Basel_III_CBI!B8:F8)</f>
        <v>1</v>
      </c>
      <c r="D12" s="2" t="str">
        <f>IF(C12&gt;=50%,"OK","BREACH")</f>
        <v>OK</v>
      </c>
    </row>
    <row r="13" spans="1:7" ht="27.75" customHeight="1">
      <c r="A13" s="2" t="s">
        <v>407</v>
      </c>
      <c r="B13" s="2" t="s">
        <v>408</v>
      </c>
      <c r="C13" s="71">
        <f>MAX(Basel_III_CBI!B28:F28)</f>
        <v>370</v>
      </c>
      <c r="D13" s="2" t="str">
        <f>IF(C13=0,"OK","Confirm with CBI")</f>
        <v>Confirm with CBI</v>
      </c>
    </row>
    <row r="14" spans="1:7" ht="68.25" customHeight="1">
      <c r="A14" s="2" t="s">
        <v>409</v>
      </c>
      <c r="B14" s="2" t="s">
        <v>410</v>
      </c>
      <c r="C14" s="2" t="s">
        <v>411</v>
      </c>
      <c r="D14" s="2" t="s">
        <v>412</v>
      </c>
    </row>
    <row r="15" spans="1:7" ht="28.5">
      <c r="A15" s="2" t="s">
        <v>413</v>
      </c>
      <c r="B15" s="2" t="s">
        <v>414</v>
      </c>
      <c r="C15" s="2" t="s">
        <v>415</v>
      </c>
      <c r="D15" s="2" t="s">
        <v>412</v>
      </c>
    </row>
    <row r="16" spans="1:7" ht="27.75" customHeight="1">
      <c r="A16" s="2" t="s">
        <v>416</v>
      </c>
      <c r="B16" s="2" t="s">
        <v>417</v>
      </c>
      <c r="C16" s="2" t="s">
        <v>418</v>
      </c>
      <c r="D16" s="2" t="s">
        <v>412</v>
      </c>
    </row>
    <row r="17" spans="1:4" ht="28.5">
      <c r="A17" s="2" t="s">
        <v>419</v>
      </c>
      <c r="B17" s="2" t="s">
        <v>420</v>
      </c>
      <c r="C17" s="2" t="s">
        <v>421</v>
      </c>
      <c r="D17" s="2" t="s">
        <v>412</v>
      </c>
    </row>
    <row r="18" spans="1:4" ht="27.75" customHeight="1">
      <c r="A18" s="2" t="s">
        <v>422</v>
      </c>
      <c r="B18" s="2" t="s">
        <v>423</v>
      </c>
      <c r="C18" s="2" t="s">
        <v>424</v>
      </c>
      <c r="D18" s="2" t="s">
        <v>412</v>
      </c>
    </row>
    <row r="19" spans="1:4">
      <c r="A19" s="2" t="s">
        <v>425</v>
      </c>
      <c r="B19" s="2" t="s">
        <v>426</v>
      </c>
      <c r="C19" s="2" t="s">
        <v>427</v>
      </c>
      <c r="D19" s="2" t="s">
        <v>412</v>
      </c>
    </row>
    <row r="20" spans="1:4">
      <c r="A20" s="2" t="s">
        <v>428</v>
      </c>
      <c r="B20" s="2" t="s">
        <v>428</v>
      </c>
      <c r="C20" s="2" t="s">
        <v>418</v>
      </c>
      <c r="D20" s="2" t="s">
        <v>412</v>
      </c>
    </row>
    <row r="21" spans="1:4" ht="27.75" customHeight="1">
      <c r="A21" s="2" t="s">
        <v>429</v>
      </c>
      <c r="B21" s="2" t="s">
        <v>430</v>
      </c>
      <c r="C21" s="2" t="s">
        <v>431</v>
      </c>
      <c r="D21" s="2" t="s">
        <v>432</v>
      </c>
    </row>
    <row r="22" spans="1:4" ht="28.5">
      <c r="A22" s="2" t="s">
        <v>433</v>
      </c>
      <c r="B22" s="2" t="s">
        <v>434</v>
      </c>
      <c r="C22" s="2" t="s">
        <v>435</v>
      </c>
      <c r="D22" s="2" t="s">
        <v>432</v>
      </c>
    </row>
    <row r="24" spans="1:4" ht="27.75" customHeight="1">
      <c r="A24" s="72" t="s">
        <v>436</v>
      </c>
      <c r="B24" s="72" t="s">
        <v>437</v>
      </c>
      <c r="C24" s="72" t="s">
        <v>418</v>
      </c>
      <c r="D24" s="72" t="s">
        <v>412</v>
      </c>
    </row>
    <row r="25" spans="1:4" ht="40.5" customHeight="1">
      <c r="A25" s="72" t="s">
        <v>438</v>
      </c>
      <c r="B25" s="72" t="s">
        <v>439</v>
      </c>
      <c r="C25" s="72" t="s">
        <v>418</v>
      </c>
      <c r="D25" s="72" t="s">
        <v>440</v>
      </c>
    </row>
    <row r="26" spans="1:4">
      <c r="A26" s="72" t="s">
        <v>441</v>
      </c>
      <c r="B26" s="72" t="s">
        <v>442</v>
      </c>
      <c r="C26" s="72" t="s">
        <v>418</v>
      </c>
      <c r="D26" s="72" t="s">
        <v>412</v>
      </c>
    </row>
    <row r="27" spans="1:4" ht="28.5">
      <c r="A27" s="72" t="s">
        <v>443</v>
      </c>
      <c r="B27" s="72" t="s">
        <v>444</v>
      </c>
      <c r="C27" s="72" t="s">
        <v>418</v>
      </c>
      <c r="D27" s="72" t="s">
        <v>412</v>
      </c>
    </row>
    <row r="28" spans="1:4">
      <c r="A28" s="1" t="s">
        <v>445</v>
      </c>
      <c r="B28" s="1" t="s">
        <v>412</v>
      </c>
      <c r="C28" s="1" t="s">
        <v>446</v>
      </c>
    </row>
    <row r="29" spans="1:4">
      <c r="A29" s="1" t="s">
        <v>447</v>
      </c>
      <c r="B29" s="1" t="s">
        <v>412</v>
      </c>
      <c r="C29" s="1" t="s">
        <v>448</v>
      </c>
    </row>
    <row r="30" spans="1:4">
      <c r="A30" s="1" t="s">
        <v>449</v>
      </c>
      <c r="B30" s="1" t="s">
        <v>412</v>
      </c>
      <c r="C30" s="1" t="s">
        <v>450</v>
      </c>
    </row>
  </sheetData>
  <mergeCells count="2">
    <mergeCell ref="A2:G2"/>
    <mergeCell ref="A1:G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13"/>
  <sheetViews>
    <sheetView workbookViewId="0">
      <selection sqref="A1:XFD1048576"/>
    </sheetView>
  </sheetViews>
  <sheetFormatPr defaultColWidth="8.875" defaultRowHeight="14.25"/>
  <cols>
    <col min="1" max="1" width="20" style="1" customWidth="1"/>
    <col min="2" max="2" width="28" style="1" customWidth="1"/>
    <col min="3" max="3" width="34" style="1" customWidth="1"/>
    <col min="4" max="4" width="24" style="1" customWidth="1"/>
    <col min="5" max="5" width="32" style="1" customWidth="1"/>
    <col min="6" max="6" width="34" style="1" customWidth="1"/>
    <col min="7" max="7" width="18" style="1" customWidth="1"/>
    <col min="8" max="16384" width="8.875" style="1"/>
  </cols>
  <sheetData>
    <row r="1" spans="1:11">
      <c r="A1" s="132" t="s">
        <v>451</v>
      </c>
      <c r="B1" s="129"/>
      <c r="C1" s="129"/>
      <c r="D1" s="129"/>
      <c r="E1" s="129"/>
      <c r="F1" s="129"/>
      <c r="G1" s="129"/>
      <c r="H1" s="73"/>
      <c r="I1" s="73"/>
      <c r="J1" s="73"/>
      <c r="K1" s="73"/>
    </row>
    <row r="2" spans="1:11">
      <c r="A2" s="131" t="s">
        <v>452</v>
      </c>
      <c r="B2" s="129"/>
      <c r="C2" s="129"/>
      <c r="D2" s="129"/>
      <c r="E2" s="129"/>
      <c r="F2" s="129"/>
      <c r="G2" s="129"/>
    </row>
    <row r="3" spans="1:11">
      <c r="A3" s="2"/>
      <c r="B3" s="2"/>
      <c r="C3" s="2"/>
      <c r="D3" s="2"/>
      <c r="E3" s="2"/>
      <c r="F3" s="2"/>
      <c r="G3" s="2"/>
    </row>
    <row r="4" spans="1:11" ht="30">
      <c r="A4" s="74" t="s">
        <v>453</v>
      </c>
      <c r="B4" s="74" t="s">
        <v>454</v>
      </c>
      <c r="C4" s="74" t="s">
        <v>455</v>
      </c>
      <c r="D4" s="74" t="s">
        <v>456</v>
      </c>
      <c r="E4" s="74" t="s">
        <v>457</v>
      </c>
      <c r="F4" s="74" t="s">
        <v>458</v>
      </c>
      <c r="G4" s="74" t="s">
        <v>459</v>
      </c>
    </row>
    <row r="5" spans="1:11" ht="40.5" customHeight="1">
      <c r="A5" s="2" t="s">
        <v>460</v>
      </c>
      <c r="B5" s="2" t="s">
        <v>461</v>
      </c>
      <c r="C5" s="2" t="s">
        <v>462</v>
      </c>
      <c r="D5" s="2" t="s">
        <v>463</v>
      </c>
      <c r="E5" s="2" t="s">
        <v>464</v>
      </c>
      <c r="F5" s="2" t="s">
        <v>465</v>
      </c>
      <c r="G5" s="2" t="str">
        <f>HYPERLINK("https://cbi.iq/static/uploads/up/file-176050874125670.pdf","Open Source")</f>
        <v>Open Source</v>
      </c>
    </row>
    <row r="6" spans="1:11" ht="54.75" customHeight="1">
      <c r="A6" s="2" t="s">
        <v>466</v>
      </c>
      <c r="B6" s="2" t="s">
        <v>467</v>
      </c>
      <c r="C6" s="2" t="s">
        <v>468</v>
      </c>
      <c r="D6" s="2" t="s">
        <v>469</v>
      </c>
      <c r="E6" s="2" t="s">
        <v>470</v>
      </c>
      <c r="F6" s="2" t="s">
        <v>471</v>
      </c>
      <c r="G6" s="2" t="str">
        <f>HYPERLINK("https://cbi.iq/static/uploads/up/file-176050867224562.pdf","Open Source")</f>
        <v>Open Source</v>
      </c>
    </row>
    <row r="7" spans="1:11" ht="41.25" customHeight="1">
      <c r="A7" s="2" t="s">
        <v>472</v>
      </c>
      <c r="B7" s="2" t="s">
        <v>473</v>
      </c>
      <c r="C7" s="2" t="s">
        <v>474</v>
      </c>
      <c r="D7" s="2" t="s">
        <v>469</v>
      </c>
      <c r="E7" s="2" t="s">
        <v>475</v>
      </c>
      <c r="F7" s="2" t="s">
        <v>476</v>
      </c>
      <c r="G7" s="2" t="str">
        <f>HYPERLINK("https://cbi.iq/static/uploads/up/file-176050874125670.pdf","Open Source")</f>
        <v>Open Source</v>
      </c>
    </row>
    <row r="8" spans="1:11" ht="41.25" customHeight="1">
      <c r="A8" s="2" t="s">
        <v>319</v>
      </c>
      <c r="B8" s="2" t="s">
        <v>477</v>
      </c>
      <c r="C8" s="2" t="s">
        <v>478</v>
      </c>
      <c r="D8" s="2" t="s">
        <v>479</v>
      </c>
      <c r="E8" s="2" t="s">
        <v>480</v>
      </c>
      <c r="F8" s="2" t="s">
        <v>481</v>
      </c>
      <c r="G8" s="2" t="str">
        <f>HYPERLINK("https://www.bis.org/publ/bcbs238.pdf","Open Source")</f>
        <v>Open Source</v>
      </c>
    </row>
    <row r="9" spans="1:11" ht="27.75" customHeight="1">
      <c r="A9" s="2" t="s">
        <v>320</v>
      </c>
      <c r="B9" s="2" t="s">
        <v>482</v>
      </c>
      <c r="C9" s="2" t="s">
        <v>483</v>
      </c>
      <c r="D9" s="2" t="s">
        <v>479</v>
      </c>
      <c r="E9" s="2" t="s">
        <v>484</v>
      </c>
      <c r="F9" s="2" t="s">
        <v>485</v>
      </c>
      <c r="G9" s="2" t="str">
        <f>HYPERLINK("https://www.bis.org/bcbs/publ/d295.pdf","Open Source")</f>
        <v>Open Source</v>
      </c>
    </row>
    <row r="10" spans="1:11" ht="41.25" customHeight="1">
      <c r="A10" s="2" t="s">
        <v>486</v>
      </c>
      <c r="B10" s="2" t="s">
        <v>487</v>
      </c>
      <c r="C10" s="2" t="s">
        <v>488</v>
      </c>
      <c r="D10" s="2" t="s">
        <v>415</v>
      </c>
      <c r="E10" s="2" t="s">
        <v>489</v>
      </c>
      <c r="F10" s="2" t="s">
        <v>490</v>
      </c>
      <c r="G10" s="2" t="str">
        <f>HYPERLINK("https://cbi.iq/static/uploads/up/file-176050867224562.pdf","Open Source")</f>
        <v>Open Source</v>
      </c>
    </row>
    <row r="11" spans="1:11" ht="54.75" customHeight="1">
      <c r="A11" s="2" t="s">
        <v>491</v>
      </c>
      <c r="B11" s="2" t="s">
        <v>492</v>
      </c>
      <c r="C11" s="2" t="s">
        <v>493</v>
      </c>
      <c r="D11" s="2" t="s">
        <v>411</v>
      </c>
      <c r="E11" s="2" t="s">
        <v>494</v>
      </c>
      <c r="F11" s="2" t="s">
        <v>495</v>
      </c>
      <c r="G11" s="2" t="str">
        <f>HYPERLINK("https://aaoifi.com/accounting-standards-2/?lang=en","Open Source")</f>
        <v>Open Source</v>
      </c>
    </row>
    <row r="12" spans="1:11" ht="54.75" customHeight="1">
      <c r="A12" s="2" t="s">
        <v>496</v>
      </c>
      <c r="B12" s="2" t="s">
        <v>497</v>
      </c>
      <c r="C12" s="2" t="s">
        <v>498</v>
      </c>
      <c r="D12" s="2" t="s">
        <v>411</v>
      </c>
      <c r="E12" s="2" t="s">
        <v>499</v>
      </c>
      <c r="F12" s="2" t="s">
        <v>500</v>
      </c>
      <c r="G12" s="2" t="str">
        <f>HYPERLINK("https://www.ifrs.org/use-around-the-world/use-of-ifrs-standards-by-jurisdiction/view-jurisdiction/iraq/","Open Source")</f>
        <v>Open Source</v>
      </c>
    </row>
    <row r="13" spans="1:11" ht="54.75" customHeight="1">
      <c r="A13" s="2" t="s">
        <v>501</v>
      </c>
      <c r="B13" s="2" t="s">
        <v>502</v>
      </c>
      <c r="C13" s="2" t="s">
        <v>503</v>
      </c>
      <c r="D13" s="2" t="s">
        <v>504</v>
      </c>
      <c r="E13" s="2" t="s">
        <v>505</v>
      </c>
      <c r="F13" s="2" t="s">
        <v>506</v>
      </c>
      <c r="G13" s="2" t="str">
        <f>HYPERLINK("https://www.ifsb.org/standards-page/","Open Source")</f>
        <v>Open Source</v>
      </c>
    </row>
  </sheetData>
  <mergeCells count="2">
    <mergeCell ref="A2:G2"/>
    <mergeCell ref="A1:G1"/>
  </mergeCells>
  <pageMargins left="0.7" right="0.7" top="0.75" bottom="0.75" header="0.3" footer="0.3"/>
  <tableParts count="1">
    <tablePart r:id="rId1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K29"/>
  <sheetViews>
    <sheetView workbookViewId="0">
      <selection sqref="A1:XFD1048576"/>
    </sheetView>
  </sheetViews>
  <sheetFormatPr defaultColWidth="8.875" defaultRowHeight="14.25"/>
  <cols>
    <col min="1" max="1" width="34" style="1" customWidth="1"/>
    <col min="2" max="6" width="18" style="1" customWidth="1"/>
    <col min="7" max="16384" width="8.875" style="1"/>
  </cols>
  <sheetData>
    <row r="1" spans="1:11">
      <c r="A1" s="132" t="s">
        <v>507</v>
      </c>
      <c r="B1" s="129"/>
      <c r="C1" s="129"/>
      <c r="D1" s="129"/>
      <c r="E1" s="129"/>
      <c r="F1" s="129"/>
      <c r="G1" s="73"/>
      <c r="H1" s="73"/>
      <c r="I1" s="73"/>
      <c r="J1" s="73"/>
      <c r="K1" s="73"/>
    </row>
    <row r="2" spans="1:11">
      <c r="A2" s="131" t="s">
        <v>508</v>
      </c>
      <c r="B2" s="129"/>
      <c r="C2" s="129"/>
      <c r="D2" s="129"/>
      <c r="E2" s="129"/>
      <c r="F2" s="129"/>
    </row>
    <row r="3" spans="1:11">
      <c r="A3" s="2"/>
      <c r="B3" s="2"/>
      <c r="C3" s="2"/>
      <c r="D3" s="2"/>
      <c r="E3" s="2"/>
      <c r="F3" s="2"/>
    </row>
    <row r="4" spans="1:11" ht="41.25" customHeight="1">
      <c r="A4" s="74" t="s">
        <v>264</v>
      </c>
      <c r="B4" s="74" t="s">
        <v>224</v>
      </c>
      <c r="C4" s="74" t="s">
        <v>225</v>
      </c>
      <c r="D4" s="74" t="s">
        <v>226</v>
      </c>
      <c r="E4" s="74" t="s">
        <v>227</v>
      </c>
      <c r="F4" s="74" t="s">
        <v>228</v>
      </c>
    </row>
    <row r="5" spans="1:11">
      <c r="A5" s="2" t="s">
        <v>509</v>
      </c>
      <c r="B5" s="75">
        <f>Annual_Summary!B32</f>
        <v>19.059256250000001</v>
      </c>
      <c r="C5" s="75">
        <f>Annual_Summary!C32</f>
        <v>42.648537485555558</v>
      </c>
      <c r="D5" s="75">
        <f>Annual_Summary!D32</f>
        <v>69.719837481481477</v>
      </c>
      <c r="E5" s="75">
        <f>Annual_Summary!E32</f>
        <v>66.807761925925917</v>
      </c>
      <c r="F5" s="75">
        <f>Annual_Summary!F32</f>
        <v>70.02953130641481</v>
      </c>
    </row>
    <row r="6" spans="1:11">
      <c r="A6" s="2" t="s">
        <v>510</v>
      </c>
      <c r="B6" s="75">
        <f>0</f>
        <v>0</v>
      </c>
      <c r="C6" s="75">
        <f>0</f>
        <v>0</v>
      </c>
      <c r="D6" s="75">
        <f>0</f>
        <v>0</v>
      </c>
      <c r="E6" s="75">
        <f>0</f>
        <v>0</v>
      </c>
      <c r="F6" s="75">
        <f>0</f>
        <v>0</v>
      </c>
    </row>
    <row r="7" spans="1:11">
      <c r="A7" s="2" t="s">
        <v>511</v>
      </c>
      <c r="B7" s="75">
        <f>SUM(B5:B6)</f>
        <v>19.059256250000001</v>
      </c>
      <c r="C7" s="75">
        <f>SUM(C5:C6)</f>
        <v>42.648537485555558</v>
      </c>
      <c r="D7" s="75">
        <f>SUM(D5:D6)</f>
        <v>69.719837481481477</v>
      </c>
      <c r="E7" s="75">
        <f>SUM(E5:E6)</f>
        <v>66.807761925925917</v>
      </c>
      <c r="F7" s="75">
        <f>SUM(F5:F6)</f>
        <v>70.02953130641481</v>
      </c>
    </row>
    <row r="8" spans="1:11">
      <c r="A8" s="2" t="s">
        <v>512</v>
      </c>
      <c r="B8" s="2">
        <f>IFERROR(B5/B7,0)</f>
        <v>1</v>
      </c>
      <c r="C8" s="2">
        <f>IFERROR(C5/C7,0)</f>
        <v>1</v>
      </c>
      <c r="D8" s="2">
        <f>IFERROR(D5/D7,0)</f>
        <v>1</v>
      </c>
      <c r="E8" s="2">
        <f>IFERROR(E5/E7,0)</f>
        <v>1</v>
      </c>
      <c r="F8" s="2">
        <f>IFERROR(F5/F7,0)</f>
        <v>1</v>
      </c>
    </row>
    <row r="9" spans="1:11">
      <c r="A9" s="2" t="s">
        <v>513</v>
      </c>
      <c r="B9" s="75">
        <f>Annual_Summary!B35</f>
        <v>31.916139999999999</v>
      </c>
      <c r="C9" s="75">
        <f>Annual_Summary!C35</f>
        <v>46.72084833333335</v>
      </c>
      <c r="D9" s="75">
        <f>Annual_Summary!D35</f>
        <v>64.944450000000003</v>
      </c>
      <c r="E9" s="75">
        <f>Annual_Summary!E35</f>
        <v>93.487099999999984</v>
      </c>
      <c r="F9" s="75">
        <f>Annual_Summary!F35</f>
        <v>124.45515999999998</v>
      </c>
    </row>
    <row r="10" spans="1:11">
      <c r="A10" s="2" t="s">
        <v>514</v>
      </c>
      <c r="B10" s="75">
        <f>Annual_Summary!B12*15%*12.5</f>
        <v>7.1279179687500003</v>
      </c>
      <c r="C10" s="75">
        <f>Annual_Summary!C12*15%*12.5</f>
        <v>19.492946666666665</v>
      </c>
      <c r="D10" s="75">
        <f>Annual_Summary!D12*15%*12.5</f>
        <v>37.072421267361108</v>
      </c>
      <c r="E10" s="75">
        <f>Annual_Summary!E12*15%*12.5</f>
        <v>58.794992708333339</v>
      </c>
      <c r="F10" s="75">
        <f>Annual_Summary!F12*15%*12.5</f>
        <v>85.233407291666651</v>
      </c>
    </row>
    <row r="11" spans="1:11" ht="27.75" customHeight="1">
      <c r="A11" s="2" t="s">
        <v>515</v>
      </c>
      <c r="B11" s="75">
        <f>0</f>
        <v>0</v>
      </c>
      <c r="C11" s="75">
        <f>0</f>
        <v>0</v>
      </c>
      <c r="D11" s="75">
        <f>0</f>
        <v>0</v>
      </c>
      <c r="E11" s="75">
        <f>0</f>
        <v>0</v>
      </c>
      <c r="F11" s="75">
        <f>0</f>
        <v>0</v>
      </c>
    </row>
    <row r="12" spans="1:11">
      <c r="A12" s="2" t="s">
        <v>516</v>
      </c>
      <c r="B12" s="75">
        <f>SUM(B9:B11)</f>
        <v>39.044057968749996</v>
      </c>
      <c r="C12" s="75">
        <f>SUM(C9:C11)</f>
        <v>66.213795000000019</v>
      </c>
      <c r="D12" s="75">
        <f>SUM(D9:D11)</f>
        <v>102.01687126736111</v>
      </c>
      <c r="E12" s="75">
        <f>SUM(E9:E11)</f>
        <v>152.28209270833332</v>
      </c>
      <c r="F12" s="75">
        <f>SUM(F9:F11)</f>
        <v>209.68856729166663</v>
      </c>
    </row>
    <row r="13" spans="1:11">
      <c r="A13" s="2" t="s">
        <v>517</v>
      </c>
      <c r="B13" s="71">
        <f>IFERROR(B7/B12,0)</f>
        <v>0.48814742220838342</v>
      </c>
      <c r="C13" s="71">
        <f>IFERROR(C7/C12,0)</f>
        <v>0.64410350570535257</v>
      </c>
      <c r="D13" s="71">
        <f>IFERROR(D7/D12,0)</f>
        <v>0.68341477851014409</v>
      </c>
      <c r="E13" s="71">
        <f>IFERROR(E7/E12,0)</f>
        <v>0.43871055839692963</v>
      </c>
      <c r="F13" s="71">
        <f>IFERROR(F7/F12,0)</f>
        <v>0.33396923929098687</v>
      </c>
    </row>
    <row r="14" spans="1:11" ht="27.75" customHeight="1">
      <c r="A14" s="2" t="s">
        <v>518</v>
      </c>
      <c r="B14" s="71">
        <f>12.5%</f>
        <v>0.125</v>
      </c>
      <c r="C14" s="71">
        <f>12.5%</f>
        <v>0.125</v>
      </c>
      <c r="D14" s="71">
        <f>12.5%</f>
        <v>0.125</v>
      </c>
      <c r="E14" s="71">
        <f>12.5%</f>
        <v>0.125</v>
      </c>
      <c r="F14" s="71">
        <f>12.5%</f>
        <v>0.125</v>
      </c>
    </row>
    <row r="15" spans="1:11">
      <c r="A15" s="2" t="s">
        <v>148</v>
      </c>
      <c r="B15" s="71">
        <f>25%</f>
        <v>0.25</v>
      </c>
      <c r="C15" s="71">
        <f>25%</f>
        <v>0.25</v>
      </c>
      <c r="D15" s="71">
        <f>25%</f>
        <v>0.25</v>
      </c>
      <c r="E15" s="71">
        <f>25%</f>
        <v>0.25</v>
      </c>
      <c r="F15" s="71">
        <f>25%</f>
        <v>0.25</v>
      </c>
    </row>
    <row r="16" spans="1:11">
      <c r="A16" s="2" t="s">
        <v>519</v>
      </c>
      <c r="B16" s="2" t="str">
        <f>IF(B13&gt;=B14,"OK","BREACH")</f>
        <v>OK</v>
      </c>
      <c r="C16" s="2" t="str">
        <f>IF(C13&gt;=C14,"OK","BREACH")</f>
        <v>OK</v>
      </c>
      <c r="D16" s="2" t="str">
        <f>IF(D13&gt;=D14,"OK","BREACH")</f>
        <v>OK</v>
      </c>
      <c r="E16" s="2" t="str">
        <f>IF(E13&gt;=E14,"OK","BREACH")</f>
        <v>OK</v>
      </c>
      <c r="F16" s="2" t="str">
        <f>IF(F13&gt;=F14,"OK","BREACH")</f>
        <v>OK</v>
      </c>
    </row>
    <row r="17" spans="1:6">
      <c r="A17" s="2" t="s">
        <v>520</v>
      </c>
      <c r="B17" s="2" t="str">
        <f>IF(B13&gt;=B15,"OK","Monitor")</f>
        <v>OK</v>
      </c>
      <c r="C17" s="2" t="str">
        <f>IF(C13&gt;=C15,"OK","Monitor")</f>
        <v>OK</v>
      </c>
      <c r="D17" s="2" t="str">
        <f>IF(D13&gt;=D15,"OK","Monitor")</f>
        <v>OK</v>
      </c>
      <c r="E17" s="2" t="str">
        <f>IF(E13&gt;=E15,"OK","Monitor")</f>
        <v>OK</v>
      </c>
      <c r="F17" s="2" t="str">
        <f>IF(F13&gt;=F15,"OK","Monitor")</f>
        <v>OK</v>
      </c>
    </row>
    <row r="18" spans="1:6">
      <c r="A18" s="2" t="s">
        <v>521</v>
      </c>
      <c r="B18" s="71">
        <f>Annual_Summary!B37</f>
        <v>3.2611450846354164</v>
      </c>
      <c r="C18" s="71">
        <f>Annual_Summary!C37</f>
        <v>4.0226786269087071</v>
      </c>
      <c r="D18" s="71">
        <f>Annual_Summary!D37</f>
        <v>4.2105441947503301</v>
      </c>
      <c r="E18" s="71">
        <f>Annual_Summary!E37</f>
        <v>3.4284194551741369</v>
      </c>
      <c r="F18" s="71">
        <f>Annual_Summary!F37</f>
        <v>3.1346985297207004</v>
      </c>
    </row>
    <row r="19" spans="1:6" ht="27" customHeight="1">
      <c r="A19" s="2" t="s">
        <v>522</v>
      </c>
      <c r="B19" s="71">
        <f>100%</f>
        <v>1</v>
      </c>
      <c r="C19" s="71">
        <f>100%</f>
        <v>1</v>
      </c>
      <c r="D19" s="71">
        <f>100%</f>
        <v>1</v>
      </c>
      <c r="E19" s="71">
        <f>100%</f>
        <v>1</v>
      </c>
      <c r="F19" s="71">
        <f>100%</f>
        <v>1</v>
      </c>
    </row>
    <row r="20" spans="1:6">
      <c r="A20" s="2" t="s">
        <v>523</v>
      </c>
      <c r="B20" s="71">
        <f>120%</f>
        <v>1.2</v>
      </c>
      <c r="C20" s="71">
        <f>120%</f>
        <v>1.2</v>
      </c>
      <c r="D20" s="71">
        <f>120%</f>
        <v>1.2</v>
      </c>
      <c r="E20" s="71">
        <f>120%</f>
        <v>1.2</v>
      </c>
      <c r="F20" s="71">
        <f>120%</f>
        <v>1.2</v>
      </c>
    </row>
    <row r="21" spans="1:6">
      <c r="A21" s="2" t="s">
        <v>524</v>
      </c>
      <c r="B21" s="2" t="str">
        <f>IF(B18&gt;=B19,"OK","BREACH")</f>
        <v>OK</v>
      </c>
      <c r="C21" s="2" t="str">
        <f>IF(C18&gt;=C19,"OK","BREACH")</f>
        <v>OK</v>
      </c>
      <c r="D21" s="2" t="str">
        <f>IF(D18&gt;=D19,"OK","BREACH")</f>
        <v>OK</v>
      </c>
      <c r="E21" s="2" t="str">
        <f>IF(E18&gt;=E19,"OK","BREACH")</f>
        <v>OK</v>
      </c>
      <c r="F21" s="2" t="str">
        <f>IF(F18&gt;=F19,"OK","BREACH")</f>
        <v>OK</v>
      </c>
    </row>
    <row r="22" spans="1:6">
      <c r="A22" s="2" t="s">
        <v>525</v>
      </c>
      <c r="B22" s="71">
        <f>Annual_Summary!B38</f>
        <v>1.4245060375485901</v>
      </c>
      <c r="C22" s="71">
        <f>Annual_Summary!C38</f>
        <v>1.8670190110875013</v>
      </c>
      <c r="D22" s="71">
        <f>Annual_Summary!D38</f>
        <v>2.1174535054434132</v>
      </c>
      <c r="E22" s="71">
        <f>Annual_Summary!E38</f>
        <v>1.801939614242557</v>
      </c>
      <c r="F22" s="71">
        <f>Annual_Summary!F38</f>
        <v>1.6933424258367265</v>
      </c>
    </row>
    <row r="23" spans="1:6" ht="27.75" customHeight="1">
      <c r="A23" s="2" t="s">
        <v>526</v>
      </c>
      <c r="B23" s="71">
        <f>100%</f>
        <v>1</v>
      </c>
      <c r="C23" s="71">
        <f>100%</f>
        <v>1</v>
      </c>
      <c r="D23" s="71">
        <f>100%</f>
        <v>1</v>
      </c>
      <c r="E23" s="71">
        <f>100%</f>
        <v>1</v>
      </c>
      <c r="F23" s="71">
        <f>100%</f>
        <v>1</v>
      </c>
    </row>
    <row r="24" spans="1:6">
      <c r="A24" s="2" t="s">
        <v>527</v>
      </c>
      <c r="B24" s="71">
        <f>110%</f>
        <v>1.1000000000000001</v>
      </c>
      <c r="C24" s="71">
        <f>110%</f>
        <v>1.1000000000000001</v>
      </c>
      <c r="D24" s="71">
        <f>110%</f>
        <v>1.1000000000000001</v>
      </c>
      <c r="E24" s="71">
        <f>110%</f>
        <v>1.1000000000000001</v>
      </c>
      <c r="F24" s="71">
        <f>110%</f>
        <v>1.1000000000000001</v>
      </c>
    </row>
    <row r="25" spans="1:6">
      <c r="A25" s="2" t="s">
        <v>528</v>
      </c>
      <c r="B25" s="75" t="str">
        <f>IF(B22&gt;=B23,"OK","BREACH")</f>
        <v>OK</v>
      </c>
      <c r="C25" s="75" t="str">
        <f>IF(C22&gt;=C23,"OK","BREACH")</f>
        <v>OK</v>
      </c>
      <c r="D25" s="75" t="str">
        <f>IF(D22&gt;=D23,"OK","BREACH")</f>
        <v>OK</v>
      </c>
      <c r="E25" s="75" t="str">
        <f>IF(E22&gt;=E23,"OK","BREACH")</f>
        <v>OK</v>
      </c>
      <c r="F25" s="75" t="str">
        <f>IF(F22&gt;=F23,"OK","BREACH")</f>
        <v>OK</v>
      </c>
    </row>
    <row r="26" spans="1:6">
      <c r="A26" s="2" t="s">
        <v>529</v>
      </c>
      <c r="B26" s="75">
        <f>Annual_Summary!B30</f>
        <v>30</v>
      </c>
      <c r="C26" s="75">
        <f>Annual_Summary!C30</f>
        <v>65</v>
      </c>
      <c r="D26" s="75">
        <f>Annual_Summary!D30</f>
        <v>100</v>
      </c>
      <c r="E26" s="75">
        <f>Annual_Summary!E30</f>
        <v>100</v>
      </c>
      <c r="F26" s="75">
        <f>Annual_Summary!F30</f>
        <v>100</v>
      </c>
    </row>
    <row r="27" spans="1:6" ht="27" customHeight="1">
      <c r="A27" s="2" t="s">
        <v>530</v>
      </c>
      <c r="B27" s="75">
        <f>400</f>
        <v>400</v>
      </c>
      <c r="C27" s="75">
        <f>400</f>
        <v>400</v>
      </c>
      <c r="D27" s="75">
        <f>400</f>
        <v>400</v>
      </c>
      <c r="E27" s="75">
        <f>400</f>
        <v>400</v>
      </c>
      <c r="F27" s="75">
        <f>400</f>
        <v>400</v>
      </c>
    </row>
    <row r="28" spans="1:6" ht="27" customHeight="1">
      <c r="A28" s="2" t="s">
        <v>531</v>
      </c>
      <c r="B28" s="2">
        <f>MAX(0,B27-B26)</f>
        <v>370</v>
      </c>
      <c r="C28" s="2">
        <f>MAX(0,C27-C26)</f>
        <v>335</v>
      </c>
      <c r="D28" s="2">
        <f>MAX(0,D27-D26)</f>
        <v>300</v>
      </c>
      <c r="E28" s="2">
        <f>MAX(0,E27-E26)</f>
        <v>300</v>
      </c>
      <c r="F28" s="2">
        <f>MAX(0,F27-F26)</f>
        <v>300</v>
      </c>
    </row>
    <row r="29" spans="1:6" ht="42.75">
      <c r="A29" s="2" t="s">
        <v>532</v>
      </c>
      <c r="B29" s="2" t="str">
        <f>IF(B28&gt;0,"Capital floor confirmation required","OK")</f>
        <v>Capital floor confirmation required</v>
      </c>
      <c r="C29" s="2" t="str">
        <f>IF(C28&gt;0,"Capital floor confirmation required","OK")</f>
        <v>Capital floor confirmation required</v>
      </c>
      <c r="D29" s="2" t="str">
        <f>IF(D28&gt;0,"Capital floor confirmation required","OK")</f>
        <v>Capital floor confirmation required</v>
      </c>
      <c r="E29" s="2" t="str">
        <f>IF(E28&gt;0,"Capital floor confirmation required","OK")</f>
        <v>Capital floor confirmation required</v>
      </c>
      <c r="F29" s="2" t="str">
        <f>IF(F28&gt;0,"Capital floor confirmation required","OK")</f>
        <v>Capital floor confirmation required</v>
      </c>
    </row>
  </sheetData>
  <mergeCells count="2">
    <mergeCell ref="A2:F2"/>
    <mergeCell ref="A1:F1"/>
  </mergeCells>
  <pageMargins left="0.7" right="0.7" top="0.75" bottom="0.75" header="0.3" footer="0.3"/>
  <tableParts count="1">
    <tablePart r:id="rId1"/>
  </tablePart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K12"/>
  <sheetViews>
    <sheetView workbookViewId="0">
      <selection sqref="A1:XFD1048576"/>
    </sheetView>
  </sheetViews>
  <sheetFormatPr defaultColWidth="8.875" defaultRowHeight="14.25"/>
  <cols>
    <col min="1" max="1" width="22" style="1" customWidth="1"/>
    <col min="2" max="2" width="40" style="1" customWidth="1"/>
    <col min="3" max="3" width="34" style="1" customWidth="1"/>
    <col min="4" max="4" width="24" style="1" customWidth="1"/>
    <col min="5" max="5" width="32" style="1" customWidth="1"/>
    <col min="6" max="6" width="36" style="1" customWidth="1"/>
    <col min="7" max="7" width="18" style="1" customWidth="1"/>
    <col min="8" max="16384" width="8.875" style="1"/>
  </cols>
  <sheetData>
    <row r="1" spans="1:11">
      <c r="A1" s="132" t="s">
        <v>533</v>
      </c>
      <c r="B1" s="129"/>
      <c r="C1" s="129"/>
      <c r="D1" s="129"/>
      <c r="E1" s="129"/>
      <c r="F1" s="129"/>
      <c r="G1" s="129"/>
      <c r="H1" s="73"/>
      <c r="I1" s="73"/>
      <c r="J1" s="73"/>
      <c r="K1" s="73"/>
    </row>
    <row r="2" spans="1:11">
      <c r="A2" s="131" t="s">
        <v>534</v>
      </c>
      <c r="B2" s="129"/>
      <c r="C2" s="129"/>
      <c r="D2" s="129"/>
      <c r="E2" s="129"/>
      <c r="F2" s="129"/>
      <c r="G2" s="129"/>
    </row>
    <row r="3" spans="1:11">
      <c r="A3" s="2"/>
      <c r="B3" s="2"/>
      <c r="C3" s="2"/>
      <c r="D3" s="2"/>
      <c r="E3" s="2"/>
      <c r="F3" s="2"/>
      <c r="G3" s="2"/>
    </row>
    <row r="4" spans="1:11" ht="30">
      <c r="A4" s="74" t="s">
        <v>535</v>
      </c>
      <c r="B4" s="74" t="s">
        <v>536</v>
      </c>
      <c r="C4" s="74" t="s">
        <v>537</v>
      </c>
      <c r="D4" s="74" t="s">
        <v>538</v>
      </c>
      <c r="E4" s="74" t="s">
        <v>539</v>
      </c>
      <c r="F4" s="74" t="s">
        <v>540</v>
      </c>
      <c r="G4" s="74" t="s">
        <v>541</v>
      </c>
    </row>
    <row r="5" spans="1:11" ht="41.25" customHeight="1">
      <c r="A5" s="2" t="s">
        <v>542</v>
      </c>
      <c r="B5" s="2" t="s">
        <v>543</v>
      </c>
      <c r="C5" s="2" t="s">
        <v>544</v>
      </c>
      <c r="D5" s="2" t="s">
        <v>545</v>
      </c>
      <c r="E5" s="2" t="s">
        <v>546</v>
      </c>
      <c r="F5" s="2" t="s">
        <v>547</v>
      </c>
      <c r="G5" s="2" t="str">
        <f>HYPERLINK("https://www.ifrs.org/use-around-the-world/use-of-ifrs-standards-by-jurisdiction/view-jurisdiction/iraq/","Open Source")</f>
        <v>Open Source</v>
      </c>
    </row>
    <row r="6" spans="1:11" ht="41.25" customHeight="1">
      <c r="A6" s="2" t="s">
        <v>548</v>
      </c>
      <c r="B6" s="2" t="s">
        <v>549</v>
      </c>
      <c r="C6" s="2" t="s">
        <v>550</v>
      </c>
      <c r="D6" s="2" t="s">
        <v>551</v>
      </c>
      <c r="E6" s="2" t="s">
        <v>552</v>
      </c>
      <c r="F6" s="2" t="s">
        <v>553</v>
      </c>
      <c r="G6" s="2" t="str">
        <f>HYPERLINK("https://aaoifi.com/accounting-standards-2/?lang=en","Open Source")</f>
        <v>Open Source</v>
      </c>
    </row>
    <row r="7" spans="1:11" ht="54.75" customHeight="1">
      <c r="A7" s="2" t="s">
        <v>554</v>
      </c>
      <c r="B7" s="2" t="s">
        <v>555</v>
      </c>
      <c r="C7" s="2" t="s">
        <v>556</v>
      </c>
      <c r="D7" s="2" t="s">
        <v>557</v>
      </c>
      <c r="E7" s="2" t="s">
        <v>558</v>
      </c>
      <c r="F7" s="2" t="s">
        <v>559</v>
      </c>
      <c r="G7" s="2" t="str">
        <f>HYPERLINK("https://aaoifi.com/accounting-standards-2/?lang=en","Open Source")</f>
        <v>Open Source</v>
      </c>
    </row>
    <row r="8" spans="1:11" ht="41.25" customHeight="1">
      <c r="A8" s="2" t="s">
        <v>560</v>
      </c>
      <c r="B8" s="2" t="s">
        <v>561</v>
      </c>
      <c r="C8" s="2" t="s">
        <v>562</v>
      </c>
      <c r="D8" s="2" t="s">
        <v>563</v>
      </c>
      <c r="E8" s="2" t="s">
        <v>564</v>
      </c>
      <c r="F8" s="2" t="s">
        <v>565</v>
      </c>
      <c r="G8" s="2" t="str">
        <f>HYPERLINK("https://aaoifi.com/accounting-standards-2/?lang=en","Open Source")</f>
        <v>Open Source</v>
      </c>
    </row>
    <row r="9" spans="1:11" ht="41.25" customHeight="1">
      <c r="A9" s="2" t="s">
        <v>566</v>
      </c>
      <c r="B9" s="2" t="s">
        <v>567</v>
      </c>
      <c r="C9" s="2" t="s">
        <v>568</v>
      </c>
      <c r="D9" s="2" t="s">
        <v>469</v>
      </c>
      <c r="E9" s="2" t="s">
        <v>569</v>
      </c>
      <c r="F9" s="2" t="s">
        <v>570</v>
      </c>
      <c r="G9" s="2" t="str">
        <f>HYPERLINK("https://www.ifsb.org/standards-page/","Open Source")</f>
        <v>Open Source</v>
      </c>
    </row>
    <row r="10" spans="1:11" ht="27.75" customHeight="1">
      <c r="A10" s="2" t="s">
        <v>571</v>
      </c>
      <c r="B10" s="2" t="s">
        <v>572</v>
      </c>
      <c r="C10" s="2" t="s">
        <v>573</v>
      </c>
      <c r="D10" s="2" t="s">
        <v>574</v>
      </c>
      <c r="E10" s="2" t="s">
        <v>575</v>
      </c>
      <c r="F10" s="2" t="s">
        <v>576</v>
      </c>
      <c r="G10" s="2" t="str">
        <f>HYPERLINK("https://cbi.iq/static/uploads/up/file-176050867224562.pdf","Open Source")</f>
        <v>Open Source</v>
      </c>
    </row>
    <row r="11" spans="1:11" ht="41.25" customHeight="1">
      <c r="A11" s="2" t="s">
        <v>577</v>
      </c>
      <c r="B11" s="2" t="s">
        <v>578</v>
      </c>
      <c r="C11" s="2" t="s">
        <v>579</v>
      </c>
      <c r="D11" s="2" t="s">
        <v>580</v>
      </c>
      <c r="E11" s="2" t="s">
        <v>581</v>
      </c>
      <c r="F11" s="2" t="s">
        <v>582</v>
      </c>
      <c r="G11" s="2" t="str">
        <f>HYPERLINK("https://www.ifrs.org/use-around-the-world/use-of-ifrs-standards-by-jurisdiction/view-jurisdiction/iraq/","Open Source")</f>
        <v>Open Source</v>
      </c>
    </row>
    <row r="12" spans="1:11" ht="41.25" customHeight="1">
      <c r="A12" s="2" t="s">
        <v>583</v>
      </c>
      <c r="B12" s="2" t="s">
        <v>584</v>
      </c>
      <c r="C12" s="2" t="s">
        <v>585</v>
      </c>
      <c r="D12" s="2" t="s">
        <v>586</v>
      </c>
      <c r="E12" s="2" t="s">
        <v>587</v>
      </c>
      <c r="F12" s="2" t="s">
        <v>588</v>
      </c>
      <c r="G12" s="2" t="str">
        <f>HYPERLINK("https://aaoifi.com/shariah-standards-3/?lang=en","Open Source")</f>
        <v>Open Source</v>
      </c>
    </row>
  </sheetData>
  <mergeCells count="2">
    <mergeCell ref="A2:G2"/>
    <mergeCell ref="A1:G1"/>
  </mergeCells>
  <pageMargins left="0.7" right="0.7" top="0.75" bottom="0.75" header="0.3" footer="0.3"/>
  <tableParts count="1">
    <tablePart r:id="rId1"/>
  </tablePart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K17"/>
  <sheetViews>
    <sheetView workbookViewId="0">
      <selection activeCell="D22" sqref="D22"/>
    </sheetView>
  </sheetViews>
  <sheetFormatPr defaultColWidth="8.875" defaultRowHeight="14.25"/>
  <cols>
    <col min="1" max="1" width="34" style="1" customWidth="1"/>
    <col min="2" max="6" width="18" style="1" customWidth="1"/>
    <col min="7" max="16384" width="8.875" style="1"/>
  </cols>
  <sheetData>
    <row r="1" spans="1:11">
      <c r="A1" s="132" t="s">
        <v>589</v>
      </c>
      <c r="B1" s="129"/>
      <c r="C1" s="129"/>
      <c r="D1" s="129"/>
      <c r="E1" s="129"/>
      <c r="F1" s="129"/>
      <c r="G1" s="73"/>
      <c r="H1" s="73"/>
      <c r="I1" s="73"/>
      <c r="J1" s="73"/>
      <c r="K1" s="73"/>
    </row>
    <row r="2" spans="1:11">
      <c r="A2" s="131" t="s">
        <v>590</v>
      </c>
      <c r="B2" s="129"/>
      <c r="C2" s="129"/>
      <c r="D2" s="129"/>
      <c r="E2" s="129"/>
      <c r="F2" s="129"/>
    </row>
    <row r="3" spans="1:11">
      <c r="A3" s="2"/>
      <c r="B3" s="2"/>
      <c r="C3" s="2"/>
      <c r="D3" s="2"/>
      <c r="E3" s="2"/>
      <c r="F3" s="2"/>
    </row>
    <row r="4" spans="1:11" ht="41.25" customHeight="1">
      <c r="A4" s="74" t="s">
        <v>591</v>
      </c>
      <c r="B4" s="74" t="s">
        <v>224</v>
      </c>
      <c r="C4" s="74" t="s">
        <v>225</v>
      </c>
      <c r="D4" s="74" t="s">
        <v>226</v>
      </c>
      <c r="E4" s="74" t="s">
        <v>227</v>
      </c>
      <c r="F4" s="74" t="s">
        <v>228</v>
      </c>
    </row>
    <row r="5" spans="1:11">
      <c r="A5" s="2" t="s">
        <v>592</v>
      </c>
      <c r="B5" s="75">
        <f>Annual_Summary!B24</f>
        <v>-10.940743749999999</v>
      </c>
      <c r="C5" s="75">
        <f>Annual_Summary!C24</f>
        <v>-11.410718764444445</v>
      </c>
      <c r="D5" s="75">
        <f>Annual_Summary!D24</f>
        <v>-7.9287000040740834</v>
      </c>
      <c r="E5" s="75">
        <f>Annual_Summary!E24</f>
        <v>-2.9120755555555577</v>
      </c>
      <c r="F5" s="75">
        <f>Annual_Summary!F24</f>
        <v>3.7903169182222256</v>
      </c>
    </row>
    <row r="6" spans="1:11">
      <c r="A6" s="2" t="s">
        <v>593</v>
      </c>
      <c r="B6" s="75">
        <f>Annual_Summary!B24 - (Annual_Summary!B12*20%)</f>
        <v>-11.701055</v>
      </c>
      <c r="C6" s="75">
        <f>Annual_Summary!C24 - (Annual_Summary!C12*20%)</f>
        <v>-13.48996640888889</v>
      </c>
      <c r="D6" s="75">
        <f>Annual_Summary!D24 - (Annual_Summary!D12*20%)</f>
        <v>-11.883091605925935</v>
      </c>
      <c r="E6" s="75">
        <f>Annual_Summary!E24 - (Annual_Summary!E12*20%)</f>
        <v>-9.1835414444444474</v>
      </c>
      <c r="F6" s="75">
        <f>Annual_Summary!F24 - (Annual_Summary!F12*20%)</f>
        <v>-5.3012465262222186</v>
      </c>
    </row>
    <row r="7" spans="1:11" ht="27.75" customHeight="1">
      <c r="A7" s="2" t="s">
        <v>594</v>
      </c>
      <c r="B7" s="75">
        <f>Annual_Summary!B24 - ((Annual_Summary!B18+Annual_Summary!B19+Annual_Summary!B20)*15%)</f>
        <v>-12.58483375</v>
      </c>
      <c r="C7" s="75">
        <f>Annual_Summary!C24 - ((Annual_Summary!C18+Annual_Summary!C19+Annual_Summary!C20)*15%)</f>
        <v>-13.322802514444444</v>
      </c>
      <c r="D7" s="75">
        <f>Annual_Summary!D24 - ((Annual_Summary!D18+Annual_Summary!D19+Annual_Summary!D20)*15%)</f>
        <v>-10.158525004074084</v>
      </c>
      <c r="E7" s="75">
        <f>Annual_Summary!E24 - ((Annual_Summary!E18+Annual_Summary!E19+Annual_Summary!E20)*15%)</f>
        <v>-5.5097005555555576</v>
      </c>
      <c r="F7" s="75">
        <f>Annual_Summary!F24 - ((Annual_Summary!F18+Annual_Summary!F19+Annual_Summary!F20)*15%)</f>
        <v>0.8171069182222257</v>
      </c>
    </row>
    <row r="8" spans="1:11" ht="27.75" customHeight="1">
      <c r="A8" s="2" t="s">
        <v>595</v>
      </c>
      <c r="B8" s="75">
        <f>Annual_Summary!B24 - Annual_Summary!B23</f>
        <v>-10.940743749999999</v>
      </c>
      <c r="C8" s="75">
        <f>Annual_Summary!C24 - Annual_Summary!C23</f>
        <v>-11.602909084444445</v>
      </c>
      <c r="D8" s="75">
        <f>Annual_Summary!D24 - Annual_Summary!D23</f>
        <v>-8.7306496840740841</v>
      </c>
      <c r="E8" s="75">
        <f>Annual_Summary!E24 - Annual_Summary!E23</f>
        <v>-4.5521055555555581</v>
      </c>
      <c r="F8" s="75">
        <f>Annual_Summary!F24 - Annual_Summary!F23</f>
        <v>1.4077166142222248</v>
      </c>
    </row>
    <row r="9" spans="1:11">
      <c r="A9" s="2" t="s">
        <v>596</v>
      </c>
      <c r="B9" s="71">
        <f>Basel_III_CBI!B13</f>
        <v>0.48814742220838342</v>
      </c>
      <c r="C9" s="71">
        <f>Basel_III_CBI!C13</f>
        <v>0.64410350570535257</v>
      </c>
      <c r="D9" s="71">
        <f>Basel_III_CBI!D13</f>
        <v>0.68341477851014409</v>
      </c>
      <c r="E9" s="71">
        <f>Basel_III_CBI!E13</f>
        <v>0.43871055839692963</v>
      </c>
      <c r="F9" s="71">
        <f>Basel_III_CBI!F13</f>
        <v>0.33396923929098687</v>
      </c>
    </row>
    <row r="10" spans="1:11">
      <c r="A10" s="2" t="s">
        <v>597</v>
      </c>
      <c r="B10" s="71">
        <f>IFERROR((Basel_III_CBI!B5 - (Annual_Summary!B12*20%))/ Basel_III_CBI!B12,0)</f>
        <v>0.46867426061722561</v>
      </c>
      <c r="C10" s="71">
        <f>IFERROR((Basel_III_CBI!C5 - (Annual_Summary!C12*20%))/ Basel_III_CBI!C12,0)</f>
        <v>0.61270147468682479</v>
      </c>
      <c r="D10" s="71">
        <f>IFERROR((Basel_III_CBI!D5 - (Annual_Summary!D12*20%))/ Basel_III_CBI!D12,0)</f>
        <v>0.6446526448284674</v>
      </c>
      <c r="E10" s="71">
        <f>IFERROR((Basel_III_CBI!E5 - (Annual_Summary!E12*20%))/ Basel_III_CBI!E12,0)</f>
        <v>0.39752734520783417</v>
      </c>
      <c r="F10" s="71">
        <f>IFERROR((Basel_III_CBI!F5 - (Annual_Summary!F12*20%))/ Basel_III_CBI!F12,0)</f>
        <v>0.29061178036096075</v>
      </c>
    </row>
    <row r="11" spans="1:11" ht="27.75" customHeight="1">
      <c r="A11" s="2" t="s">
        <v>598</v>
      </c>
      <c r="B11" s="71">
        <f>IFERROR((Basel_III_CBI!B5 - ((Annual_Summary!B18+Annual_Summary!B19+Annual_Summary!B20)*15%))/ Basel_III_CBI!B12,0)</f>
        <v>0.44603883807207534</v>
      </c>
      <c r="C11" s="71">
        <f>IFERROR((Basel_III_CBI!C5 - ((Annual_Summary!C18+Annual_Summary!C19+Annual_Summary!C20)*15%))/ Basel_III_CBI!C12,0)</f>
        <v>0.61522608295681502</v>
      </c>
      <c r="D11" s="71">
        <f>IFERROR((Basel_III_CBI!D5 - ((Annual_Summary!D18+Annual_Summary!D19+Annual_Summary!D20)*15%))/ Basel_III_CBI!D12,0)</f>
        <v>0.66155736441482071</v>
      </c>
      <c r="E11" s="71">
        <f>IFERROR((Basel_III_CBI!E5 - ((Annual_Summary!E18+Annual_Summary!E19+Annual_Summary!E20)*15%))/ Basel_III_CBI!E12,0)</f>
        <v>0.42165257768625447</v>
      </c>
      <c r="F11" s="71">
        <f>IFERROR((Basel_III_CBI!F5 - ((Annual_Summary!F18+Annual_Summary!F19+Annual_Summary!F20)*15%))/ Basel_III_CBI!F12,0)</f>
        <v>0.31979006854075515</v>
      </c>
    </row>
    <row r="12" spans="1:11">
      <c r="A12" s="2" t="s">
        <v>599</v>
      </c>
      <c r="B12" s="71">
        <f>IFERROR((Basel_III_CBI!B5 - Annual_Summary!B23)/ Basel_III_CBI!B12,0)</f>
        <v>0.48814742220838342</v>
      </c>
      <c r="C12" s="71">
        <f>IFERROR((Basel_III_CBI!C5 - Annual_Summary!C23)/ Basel_III_CBI!C12,0)</f>
        <v>0.64120093351476903</v>
      </c>
      <c r="D12" s="71">
        <f>IFERROR((Basel_III_CBI!D5 - Annual_Summary!D23)/ Basel_III_CBI!D12,0)</f>
        <v>0.67555382698283939</v>
      </c>
      <c r="E12" s="71">
        <f>IFERROR((Basel_III_CBI!E5 - Annual_Summary!E23)/ Basel_III_CBI!E12,0)</f>
        <v>0.42794087451071489</v>
      </c>
      <c r="F12" s="71">
        <f>IFERROR((Basel_III_CBI!F5 - Annual_Summary!F23)/ Basel_III_CBI!F12,0)</f>
        <v>0.32260667272489491</v>
      </c>
    </row>
    <row r="13" spans="1:11">
      <c r="A13" s="2" t="s">
        <v>600</v>
      </c>
      <c r="B13" s="71">
        <f>Annual_Summary!B37</f>
        <v>3.2611450846354164</v>
      </c>
      <c r="C13" s="71">
        <f>Annual_Summary!C37</f>
        <v>4.0226786269087071</v>
      </c>
      <c r="D13" s="71">
        <f>Annual_Summary!D37</f>
        <v>4.2105441947503301</v>
      </c>
      <c r="E13" s="71">
        <f>Annual_Summary!E37</f>
        <v>3.4284194551741369</v>
      </c>
      <c r="F13" s="71">
        <f>Annual_Summary!F37</f>
        <v>3.1346985297207004</v>
      </c>
    </row>
    <row r="14" spans="1:11">
      <c r="A14" s="2" t="s">
        <v>601</v>
      </c>
      <c r="B14" s="71">
        <f>Annual_Summary!B37*80%</f>
        <v>2.6089160677083334</v>
      </c>
      <c r="C14" s="71">
        <f>Annual_Summary!C37*80%</f>
        <v>3.2181429015269658</v>
      </c>
      <c r="D14" s="71">
        <f>Annual_Summary!D37*80%</f>
        <v>3.3684353558002642</v>
      </c>
      <c r="E14" s="71">
        <f>Annual_Summary!E37*80%</f>
        <v>2.7427355641393096</v>
      </c>
      <c r="F14" s="71">
        <f>Annual_Summary!F37*80%</f>
        <v>2.5077588237765607</v>
      </c>
    </row>
    <row r="15" spans="1:11">
      <c r="A15" s="2" t="s">
        <v>602</v>
      </c>
      <c r="B15" s="71">
        <f>Annual_Summary!B38</f>
        <v>1.4245060375485901</v>
      </c>
      <c r="C15" s="71">
        <f>Annual_Summary!C38</f>
        <v>1.8670190110875013</v>
      </c>
      <c r="D15" s="71">
        <f>Annual_Summary!D38</f>
        <v>2.1174535054434132</v>
      </c>
      <c r="E15" s="71">
        <f>Annual_Summary!E38</f>
        <v>1.801939614242557</v>
      </c>
      <c r="F15" s="71">
        <f>Annual_Summary!F38</f>
        <v>1.6933424258367265</v>
      </c>
    </row>
    <row r="16" spans="1:11">
      <c r="A16" s="2" t="s">
        <v>603</v>
      </c>
      <c r="B16" s="71">
        <f>Annual_Summary!B38*85%</f>
        <v>1.2108301319163015</v>
      </c>
      <c r="C16" s="71">
        <f>Annual_Summary!C38*85%</f>
        <v>1.586966159424376</v>
      </c>
      <c r="D16" s="71">
        <f>Annual_Summary!D38*85%</f>
        <v>1.7998354796269012</v>
      </c>
      <c r="E16" s="71">
        <f>Annual_Summary!E38*85%</f>
        <v>1.5316486721061735</v>
      </c>
      <c r="F16" s="71">
        <f>Annual_Summary!F38*85%</f>
        <v>1.4393410619612175</v>
      </c>
    </row>
    <row r="17" spans="1:6">
      <c r="A17" s="2" t="s">
        <v>604</v>
      </c>
      <c r="B17" s="2" t="str">
        <f>IF(AND(B10&gt;=12.5%,B11&gt;=12.5%,B12&gt;=12.5%,B14&gt;=100%,B16&gt;=100%),"OK","Monitor")</f>
        <v>OK</v>
      </c>
      <c r="C17" s="2" t="str">
        <f>IF(AND(C10&gt;=12.5%,C11&gt;=12.5%,C12&gt;=12.5%,C14&gt;=100%,C16&gt;=100%),"OK","Monitor")</f>
        <v>OK</v>
      </c>
      <c r="D17" s="2" t="str">
        <f>IF(AND(D10&gt;=12.5%,D11&gt;=12.5%,D12&gt;=12.5%,D14&gt;=100%,D16&gt;=100%),"OK","Monitor")</f>
        <v>OK</v>
      </c>
      <c r="E17" s="2" t="str">
        <f>IF(AND(E10&gt;=12.5%,E11&gt;=12.5%,E12&gt;=12.5%,E14&gt;=100%,E16&gt;=100%),"OK","Monitor")</f>
        <v>OK</v>
      </c>
      <c r="F17" s="2" t="str">
        <f>IF(AND(F10&gt;=12.5%,F11&gt;=12.5%,F12&gt;=12.5%,F14&gt;=100%,F16&gt;=100%),"OK","Monitor")</f>
        <v>OK</v>
      </c>
    </row>
  </sheetData>
  <mergeCells count="2">
    <mergeCell ref="A2:F2"/>
    <mergeCell ref="A1:F1"/>
  </mergeCells>
  <pageMargins left="0.7" right="0.7" top="0.75" bottom="0.75" header="0.3" footer="0.3"/>
  <tableParts count="1">
    <tablePart r:id="rId1"/>
  </tablePart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R12"/>
  <sheetViews>
    <sheetView workbookViewId="0">
      <selection sqref="A1:XFD1048576"/>
    </sheetView>
  </sheetViews>
  <sheetFormatPr defaultColWidth="8.875" defaultRowHeight="14.25"/>
  <cols>
    <col min="1" max="1" width="28" style="1" customWidth="1"/>
    <col min="2" max="6" width="14" style="1" customWidth="1"/>
    <col min="7" max="7" width="34" style="1" customWidth="1"/>
    <col min="8" max="8" width="22" style="1" customWidth="1"/>
    <col min="9" max="9" width="16" style="1" customWidth="1"/>
    <col min="10" max="10" width="22" style="1" customWidth="1"/>
    <col min="11" max="11" width="34" style="1" customWidth="1"/>
    <col min="12" max="16384" width="8.875" style="1"/>
  </cols>
  <sheetData>
    <row r="1" spans="1:18">
      <c r="A1" s="132" t="s">
        <v>605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2"/>
      <c r="M1" s="2"/>
      <c r="N1" s="2"/>
      <c r="O1" s="2"/>
      <c r="P1" s="2"/>
      <c r="Q1" s="2"/>
      <c r="R1" s="2"/>
    </row>
    <row r="2" spans="1:18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ht="27.75" customHeight="1">
      <c r="A3" s="74" t="s">
        <v>606</v>
      </c>
      <c r="B3" s="74" t="s">
        <v>350</v>
      </c>
      <c r="C3" s="74" t="s">
        <v>351</v>
      </c>
      <c r="D3" s="74" t="s">
        <v>352</v>
      </c>
      <c r="E3" s="74" t="s">
        <v>353</v>
      </c>
      <c r="F3" s="74" t="s">
        <v>354</v>
      </c>
      <c r="G3" s="74" t="s">
        <v>607</v>
      </c>
      <c r="H3" s="74" t="s">
        <v>608</v>
      </c>
      <c r="I3" s="74" t="s">
        <v>390</v>
      </c>
      <c r="J3" s="74" t="s">
        <v>609</v>
      </c>
      <c r="K3" s="74" t="s">
        <v>378</v>
      </c>
      <c r="L3" s="2"/>
      <c r="M3" s="76" t="s">
        <v>264</v>
      </c>
      <c r="N3" s="76" t="s">
        <v>350</v>
      </c>
      <c r="O3" s="76" t="s">
        <v>351</v>
      </c>
      <c r="P3" s="76" t="s">
        <v>352</v>
      </c>
      <c r="Q3" s="76" t="s">
        <v>353</v>
      </c>
      <c r="R3" s="76" t="s">
        <v>354</v>
      </c>
    </row>
    <row r="4" spans="1:18" ht="40.5" customHeight="1">
      <c r="A4" s="2" t="s">
        <v>311</v>
      </c>
      <c r="B4" s="75">
        <f>Annual_Summary!B26</f>
        <v>-10.940743749999999</v>
      </c>
      <c r="C4" s="75">
        <f>Annual_Summary!C26</f>
        <v>-11.410718764444445</v>
      </c>
      <c r="D4" s="75">
        <f>Annual_Summary!D26</f>
        <v>-7.9287000040740834</v>
      </c>
      <c r="E4" s="75">
        <f>Annual_Summary!E26</f>
        <v>-2.9120755555555577</v>
      </c>
      <c r="F4" s="75">
        <f>Annual_Summary!F26</f>
        <v>3.2217693804888921</v>
      </c>
      <c r="G4" s="2" t="s">
        <v>610</v>
      </c>
      <c r="H4" s="2" t="s">
        <v>611</v>
      </c>
      <c r="I4" s="2" t="str">
        <f>IF(F4&gt;0,"OK","Monitor")</f>
        <v>OK</v>
      </c>
      <c r="J4" s="2" t="s">
        <v>612</v>
      </c>
      <c r="K4" s="2" t="s">
        <v>613</v>
      </c>
      <c r="L4" s="2"/>
      <c r="M4" s="71" t="s">
        <v>614</v>
      </c>
      <c r="N4" s="71">
        <f t="shared" ref="N4:R6" si="0">B5</f>
        <v>0.48814742220838342</v>
      </c>
      <c r="O4" s="71">
        <f t="shared" si="0"/>
        <v>0.64410350570535257</v>
      </c>
      <c r="P4" s="71">
        <f t="shared" si="0"/>
        <v>0.68341477851014409</v>
      </c>
      <c r="Q4" s="71">
        <f t="shared" si="0"/>
        <v>0.43871055839692963</v>
      </c>
      <c r="R4" s="71">
        <f t="shared" si="0"/>
        <v>0.33396923929098687</v>
      </c>
    </row>
    <row r="5" spans="1:18" ht="41.25" customHeight="1">
      <c r="A5" s="2" t="s">
        <v>614</v>
      </c>
      <c r="B5" s="71">
        <f>Basel_III_CBI!B13</f>
        <v>0.48814742220838342</v>
      </c>
      <c r="C5" s="71">
        <f>Basel_III_CBI!C13</f>
        <v>0.64410350570535257</v>
      </c>
      <c r="D5" s="71">
        <f>Basel_III_CBI!D13</f>
        <v>0.68341477851014409</v>
      </c>
      <c r="E5" s="71">
        <f>Basel_III_CBI!E13</f>
        <v>0.43871055839692963</v>
      </c>
      <c r="F5" s="71">
        <f>Basel_III_CBI!F13</f>
        <v>0.33396923929098687</v>
      </c>
      <c r="G5" s="2" t="s">
        <v>615</v>
      </c>
      <c r="H5" s="2" t="s">
        <v>616</v>
      </c>
      <c r="I5" s="2" t="str">
        <f>IF(MIN(B5:F5)&gt;=12.5%,"OK","BREACH")</f>
        <v>OK</v>
      </c>
      <c r="J5" s="2" t="s">
        <v>469</v>
      </c>
      <c r="K5" s="2" t="s">
        <v>617</v>
      </c>
      <c r="L5" s="2"/>
      <c r="M5" s="71" t="s">
        <v>319</v>
      </c>
      <c r="N5" s="71">
        <f t="shared" si="0"/>
        <v>3.2611450846354164</v>
      </c>
      <c r="O5" s="71">
        <f t="shared" si="0"/>
        <v>4.0226786269087071</v>
      </c>
      <c r="P5" s="71">
        <f t="shared" si="0"/>
        <v>4.2105441947503301</v>
      </c>
      <c r="Q5" s="71">
        <f t="shared" si="0"/>
        <v>3.4284194551741369</v>
      </c>
      <c r="R5" s="71">
        <f t="shared" si="0"/>
        <v>3.1346985297207004</v>
      </c>
    </row>
    <row r="6" spans="1:18" ht="54.75" customHeight="1">
      <c r="A6" s="2" t="s">
        <v>319</v>
      </c>
      <c r="B6" s="71">
        <f>Annual_Summary!B37</f>
        <v>3.2611450846354164</v>
      </c>
      <c r="C6" s="71">
        <f>Annual_Summary!C37</f>
        <v>4.0226786269087071</v>
      </c>
      <c r="D6" s="71">
        <f>Annual_Summary!D37</f>
        <v>4.2105441947503301</v>
      </c>
      <c r="E6" s="71">
        <f>Annual_Summary!E37</f>
        <v>3.4284194551741369</v>
      </c>
      <c r="F6" s="71">
        <f>Annual_Summary!F37</f>
        <v>3.1346985297207004</v>
      </c>
      <c r="G6" s="2" t="s">
        <v>618</v>
      </c>
      <c r="H6" s="2" t="s">
        <v>619</v>
      </c>
      <c r="I6" s="2" t="str">
        <f>IF(MIN(B6:F6)&gt;=100%,"OK","BREACH")</f>
        <v>OK</v>
      </c>
      <c r="J6" s="2" t="s">
        <v>620</v>
      </c>
      <c r="K6" s="2" t="s">
        <v>621</v>
      </c>
      <c r="L6" s="2"/>
      <c r="M6" s="71" t="s">
        <v>320</v>
      </c>
      <c r="N6" s="71">
        <f t="shared" si="0"/>
        <v>1.4245060375485901</v>
      </c>
      <c r="O6" s="71">
        <f t="shared" si="0"/>
        <v>1.8670190110875013</v>
      </c>
      <c r="P6" s="71">
        <f t="shared" si="0"/>
        <v>2.1174535054434132</v>
      </c>
      <c r="Q6" s="71">
        <f t="shared" si="0"/>
        <v>1.801939614242557</v>
      </c>
      <c r="R6" s="71">
        <f t="shared" si="0"/>
        <v>1.6933424258367265</v>
      </c>
    </row>
    <row r="7" spans="1:18" ht="27.75" customHeight="1">
      <c r="A7" s="2" t="s">
        <v>320</v>
      </c>
      <c r="B7" s="71">
        <f>Annual_Summary!B38</f>
        <v>1.4245060375485901</v>
      </c>
      <c r="C7" s="71">
        <f>Annual_Summary!C38</f>
        <v>1.8670190110875013</v>
      </c>
      <c r="D7" s="71">
        <f>Annual_Summary!D38</f>
        <v>2.1174535054434132</v>
      </c>
      <c r="E7" s="71">
        <f>Annual_Summary!E38</f>
        <v>1.801939614242557</v>
      </c>
      <c r="F7" s="71">
        <f>Annual_Summary!F38</f>
        <v>1.6933424258367265</v>
      </c>
      <c r="G7" s="2" t="s">
        <v>622</v>
      </c>
      <c r="H7" s="2" t="s">
        <v>623</v>
      </c>
      <c r="I7" s="2" t="str">
        <f>IF(MIN(B7:F7)&gt;=100%,"OK","BREACH")</f>
        <v>OK</v>
      </c>
      <c r="J7" s="2" t="s">
        <v>620</v>
      </c>
      <c r="K7" s="2" t="s">
        <v>624</v>
      </c>
      <c r="L7" s="2"/>
      <c r="M7" s="2"/>
      <c r="N7" s="2"/>
      <c r="O7" s="2"/>
      <c r="P7" s="2"/>
      <c r="Q7" s="2"/>
      <c r="R7" s="2"/>
    </row>
    <row r="8" spans="1:18" ht="27.75" customHeight="1">
      <c r="A8" s="2" t="s">
        <v>625</v>
      </c>
      <c r="B8" s="75">
        <f>Basel_III_CBI!B28</f>
        <v>370</v>
      </c>
      <c r="C8" s="75">
        <f>Basel_III_CBI!C28</f>
        <v>335</v>
      </c>
      <c r="D8" s="75">
        <f>Basel_III_CBI!D28</f>
        <v>300</v>
      </c>
      <c r="E8" s="75">
        <f>Basel_III_CBI!E28</f>
        <v>300</v>
      </c>
      <c r="F8" s="75">
        <f>Basel_III_CBI!F28</f>
        <v>300</v>
      </c>
      <c r="G8" s="2" t="s">
        <v>626</v>
      </c>
      <c r="H8" s="2" t="s">
        <v>627</v>
      </c>
      <c r="I8" s="2" t="str">
        <f>IF(MAX(B8:F8)=0,"OK","Confirm")</f>
        <v>Confirm</v>
      </c>
      <c r="J8" s="2" t="s">
        <v>469</v>
      </c>
      <c r="K8" s="2" t="s">
        <v>628</v>
      </c>
      <c r="L8" s="2"/>
      <c r="M8" s="2"/>
      <c r="N8" s="2"/>
      <c r="O8" s="2"/>
      <c r="P8" s="2"/>
      <c r="Q8" s="2"/>
      <c r="R8" s="2"/>
    </row>
    <row r="9" spans="1:18" ht="27.75" customHeight="1">
      <c r="A9" s="2" t="s">
        <v>629</v>
      </c>
      <c r="B9" s="2" t="s">
        <v>412</v>
      </c>
      <c r="C9" s="2" t="s">
        <v>412</v>
      </c>
      <c r="D9" s="2" t="s">
        <v>412</v>
      </c>
      <c r="E9" s="2" t="s">
        <v>412</v>
      </c>
      <c r="F9" s="2" t="s">
        <v>412</v>
      </c>
      <c r="G9" s="2" t="s">
        <v>630</v>
      </c>
      <c r="H9" s="2" t="s">
        <v>631</v>
      </c>
      <c r="I9" s="2" t="s">
        <v>412</v>
      </c>
      <c r="J9" s="2" t="s">
        <v>632</v>
      </c>
      <c r="K9" s="2" t="s">
        <v>633</v>
      </c>
      <c r="L9" s="2"/>
      <c r="M9" s="2"/>
      <c r="N9" s="2"/>
      <c r="O9" s="2"/>
      <c r="P9" s="2"/>
      <c r="Q9" s="2"/>
      <c r="R9" s="2"/>
    </row>
    <row r="10" spans="1:18" ht="66.75" customHeight="1">
      <c r="A10" s="2" t="s">
        <v>634</v>
      </c>
      <c r="B10" s="2" t="s">
        <v>418</v>
      </c>
      <c r="C10" s="2" t="s">
        <v>418</v>
      </c>
      <c r="D10" s="2" t="s">
        <v>418</v>
      </c>
      <c r="E10" s="2" t="s">
        <v>418</v>
      </c>
      <c r="F10" s="2" t="s">
        <v>418</v>
      </c>
      <c r="G10" s="2" t="s">
        <v>635</v>
      </c>
      <c r="H10" s="2" t="s">
        <v>636</v>
      </c>
      <c r="I10" s="2" t="s">
        <v>412</v>
      </c>
      <c r="J10" s="2" t="s">
        <v>411</v>
      </c>
      <c r="K10" s="2" t="s">
        <v>637</v>
      </c>
      <c r="L10" s="2"/>
      <c r="M10" s="2"/>
      <c r="N10" s="2"/>
      <c r="O10" s="2"/>
      <c r="P10" s="2"/>
      <c r="Q10" s="2"/>
      <c r="R10" s="2"/>
    </row>
    <row r="11" spans="1:18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</row>
    <row r="12" spans="1:18">
      <c r="A12" s="133" t="s">
        <v>638</v>
      </c>
      <c r="B12" s="129"/>
      <c r="C12" s="129"/>
      <c r="D12" s="129"/>
      <c r="E12" s="129"/>
      <c r="F12" s="129"/>
      <c r="G12" s="129"/>
      <c r="H12" s="129"/>
      <c r="I12" s="129"/>
      <c r="J12" s="129"/>
      <c r="K12" s="129"/>
      <c r="L12" s="129"/>
      <c r="M12" s="129"/>
      <c r="N12" s="129"/>
      <c r="O12" s="129"/>
      <c r="P12" s="129"/>
      <c r="Q12" s="129"/>
      <c r="R12" s="129"/>
    </row>
  </sheetData>
  <mergeCells count="2">
    <mergeCell ref="A1:K1"/>
    <mergeCell ref="A12:R12"/>
  </mergeCells>
  <pageMargins left="0.7" right="0.7" top="0.75" bottom="0.75" header="0.3" footer="0.3"/>
  <drawing r:id="rId1"/>
  <tableParts count="1">
    <tablePart r:id="rId2"/>
  </tablePart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H80"/>
  <sheetViews>
    <sheetView workbookViewId="0">
      <selection sqref="A1:XFD1048576"/>
    </sheetView>
  </sheetViews>
  <sheetFormatPr defaultColWidth="8.875" defaultRowHeight="14.25"/>
  <cols>
    <col min="1" max="1" width="36" style="1" customWidth="1"/>
    <col min="2" max="7" width="14" style="1" customWidth="1"/>
    <col min="8" max="8" width="48" style="1" customWidth="1"/>
    <col min="9" max="16384" width="8.875" style="1"/>
  </cols>
  <sheetData>
    <row r="1" spans="1:8" ht="24" customHeight="1">
      <c r="A1" s="136" t="s">
        <v>639</v>
      </c>
      <c r="B1" s="129"/>
      <c r="C1" s="129"/>
      <c r="D1" s="129"/>
      <c r="E1" s="129"/>
      <c r="F1" s="129"/>
      <c r="G1" s="129"/>
      <c r="H1" s="129"/>
    </row>
    <row r="2" spans="1:8" ht="33.950000000000003" customHeight="1">
      <c r="A2" s="135" t="s">
        <v>640</v>
      </c>
      <c r="B2" s="129"/>
      <c r="C2" s="129"/>
      <c r="D2" s="129"/>
      <c r="E2" s="129"/>
      <c r="F2" s="129"/>
      <c r="G2" s="129"/>
      <c r="H2" s="129"/>
    </row>
    <row r="3" spans="1:8">
      <c r="A3" s="77"/>
      <c r="B3" s="78"/>
      <c r="C3" s="78"/>
      <c r="D3" s="78"/>
      <c r="E3" s="78"/>
      <c r="F3" s="78"/>
      <c r="G3" s="78"/>
      <c r="H3" s="79"/>
    </row>
    <row r="4" spans="1:8" ht="39.75" customHeight="1">
      <c r="A4" s="80" t="s">
        <v>641</v>
      </c>
      <c r="B4" s="81" t="s">
        <v>123</v>
      </c>
      <c r="C4" s="81" t="str">
        <f>Annual_Summary!B$3</f>
        <v>Fiscal year 1 August 2026 - July 2027</v>
      </c>
      <c r="D4" s="81" t="str">
        <f>Annual_Summary!C$3</f>
        <v>Fiscal year 2 August 2027 - July 2028</v>
      </c>
      <c r="E4" s="81" t="str">
        <f>Annual_Summary!D$3</f>
        <v>Fiscal year 3 August 2028 - July 2029</v>
      </c>
      <c r="F4" s="81" t="str">
        <f>Annual_Summary!E$3</f>
        <v>Fiscal year 4 August 2029 - July 2030</v>
      </c>
      <c r="G4" s="81" t="str">
        <f>Annual_Summary!F$3</f>
        <v>Fiscal year 5 August 2030 - July 2031</v>
      </c>
      <c r="H4" s="82" t="s">
        <v>642</v>
      </c>
    </row>
    <row r="5" spans="1:8">
      <c r="A5" s="77"/>
      <c r="B5" s="78"/>
      <c r="C5" s="78"/>
      <c r="D5" s="78"/>
      <c r="E5" s="78"/>
      <c r="F5" s="78"/>
      <c r="G5" s="78"/>
      <c r="H5" s="79"/>
    </row>
    <row r="6" spans="1:8">
      <c r="A6" s="134" t="s">
        <v>643</v>
      </c>
      <c r="B6" s="129"/>
      <c r="C6" s="129"/>
      <c r="D6" s="129"/>
      <c r="E6" s="129"/>
      <c r="F6" s="129"/>
      <c r="G6" s="129"/>
      <c r="H6" s="129"/>
    </row>
    <row r="7" spans="1:8">
      <c r="A7" s="77" t="s">
        <v>644</v>
      </c>
      <c r="B7" s="78" t="s">
        <v>207</v>
      </c>
      <c r="C7" s="83">
        <f>Annual_Summary!B$13</f>
        <v>2.0436000000000001</v>
      </c>
      <c r="D7" s="83">
        <f>Annual_Summary!C$13</f>
        <v>5.1136575000000004</v>
      </c>
      <c r="E7" s="83">
        <f>Annual_Summary!D$13</f>
        <v>7.9632674999999971</v>
      </c>
      <c r="F7" s="83">
        <f>Annual_Summary!E$13</f>
        <v>11.852819999999998</v>
      </c>
      <c r="G7" s="83">
        <f>Annual_Summary!F$13</f>
        <v>16.455419999999997</v>
      </c>
      <c r="H7" s="79" t="s">
        <v>645</v>
      </c>
    </row>
    <row r="8" spans="1:8" ht="27" customHeight="1">
      <c r="A8" s="77" t="s">
        <v>646</v>
      </c>
      <c r="B8" s="78" t="s">
        <v>207</v>
      </c>
      <c r="C8" s="83">
        <f>Annual_Summary!B$14</f>
        <v>0</v>
      </c>
      <c r="D8" s="83">
        <f>Annual_Summary!C$14</f>
        <v>0.63061250000000002</v>
      </c>
      <c r="E8" s="83">
        <f>Annual_Summary!D$14</f>
        <v>4.1778729166666668</v>
      </c>
      <c r="F8" s="83">
        <f>Annual_Summary!E$14</f>
        <v>9.6993749999999999</v>
      </c>
      <c r="G8" s="83">
        <f>Annual_Summary!F$14</f>
        <v>16.44125</v>
      </c>
      <c r="H8" s="79" t="s">
        <v>647</v>
      </c>
    </row>
    <row r="9" spans="1:8" ht="28.5">
      <c r="A9" s="77" t="s">
        <v>648</v>
      </c>
      <c r="B9" s="78" t="s">
        <v>207</v>
      </c>
      <c r="C9" s="83">
        <f>Annual_Summary!B$15</f>
        <v>1.7579562499999999</v>
      </c>
      <c r="D9" s="83">
        <f>Annual_Summary!C$15</f>
        <v>4.6519682222222221</v>
      </c>
      <c r="E9" s="83">
        <f>Annual_Summary!D$15</f>
        <v>7.6308175925925941</v>
      </c>
      <c r="F9" s="83">
        <f>Annual_Summary!E$15</f>
        <v>9.8051344444444428</v>
      </c>
      <c r="G9" s="83">
        <f>Annual_Summary!F$15</f>
        <v>12.561147222222223</v>
      </c>
      <c r="H9" s="79" t="s">
        <v>649</v>
      </c>
    </row>
    <row r="10" spans="1:8" ht="15">
      <c r="A10" s="84" t="s">
        <v>650</v>
      </c>
      <c r="B10" s="85" t="s">
        <v>207</v>
      </c>
      <c r="C10" s="86">
        <f>Annual_Summary!B$12</f>
        <v>3.80155625</v>
      </c>
      <c r="D10" s="86">
        <f>Annual_Summary!C$12</f>
        <v>10.396238222222221</v>
      </c>
      <c r="E10" s="86">
        <f>Annual_Summary!D$12</f>
        <v>19.771958009259258</v>
      </c>
      <c r="F10" s="86">
        <f>Annual_Summary!E$12</f>
        <v>31.357329444444446</v>
      </c>
      <c r="G10" s="86">
        <f>Annual_Summary!F$12</f>
        <v>45.457817222222218</v>
      </c>
      <c r="H10" s="87" t="s">
        <v>651</v>
      </c>
    </row>
    <row r="11" spans="1:8" ht="27" customHeight="1">
      <c r="A11" s="77" t="s">
        <v>652</v>
      </c>
      <c r="B11" s="78" t="s">
        <v>207</v>
      </c>
      <c r="C11" s="83">
        <f>-Annual_Summary!B$16</f>
        <v>-0.10919999999999999</v>
      </c>
      <c r="D11" s="83">
        <f>-Annual_Summary!C$16</f>
        <v>-0.42637500000000006</v>
      </c>
      <c r="E11" s="83">
        <f>-Annual_Summary!D$16</f>
        <v>-1.0743750000000001</v>
      </c>
      <c r="F11" s="83">
        <f>-Annual_Summary!E$16</f>
        <v>-2.3718749999999997</v>
      </c>
      <c r="G11" s="83">
        <f>-Annual_Summary!F$16</f>
        <v>-4.6035000000000004</v>
      </c>
      <c r="H11" s="79" t="s">
        <v>653</v>
      </c>
    </row>
    <row r="12" spans="1:8" ht="28.5">
      <c r="A12" s="77" t="s">
        <v>654</v>
      </c>
      <c r="B12" s="78" t="s">
        <v>207</v>
      </c>
      <c r="C12" s="83">
        <f>Annual_Summary!B$17</f>
        <v>3.69235625</v>
      </c>
      <c r="D12" s="83">
        <f>Annual_Summary!C$17</f>
        <v>9.9698632222222212</v>
      </c>
      <c r="E12" s="83">
        <f>Annual_Summary!D$17</f>
        <v>18.697583009259262</v>
      </c>
      <c r="F12" s="83">
        <f>Annual_Summary!E$17</f>
        <v>28.985454444444446</v>
      </c>
      <c r="G12" s="83">
        <f>Annual_Summary!F$17</f>
        <v>40.854317222222221</v>
      </c>
      <c r="H12" s="79" t="s">
        <v>655</v>
      </c>
    </row>
    <row r="13" spans="1:8">
      <c r="A13" s="77"/>
      <c r="B13" s="78"/>
      <c r="C13" s="78"/>
      <c r="D13" s="78"/>
      <c r="E13" s="78"/>
      <c r="F13" s="78"/>
      <c r="G13" s="78"/>
      <c r="H13" s="79"/>
    </row>
    <row r="14" spans="1:8">
      <c r="A14" s="77"/>
      <c r="B14" s="78"/>
      <c r="C14" s="78"/>
      <c r="D14" s="78"/>
      <c r="E14" s="78"/>
      <c r="F14" s="78"/>
      <c r="G14" s="78"/>
      <c r="H14" s="79"/>
    </row>
    <row r="15" spans="1:8">
      <c r="A15" s="134" t="s">
        <v>656</v>
      </c>
      <c r="B15" s="129"/>
      <c r="C15" s="129"/>
      <c r="D15" s="129"/>
      <c r="E15" s="129"/>
      <c r="F15" s="129"/>
      <c r="G15" s="129"/>
      <c r="H15" s="129"/>
    </row>
    <row r="16" spans="1:8" ht="28.5">
      <c r="A16" s="77" t="s">
        <v>250</v>
      </c>
      <c r="B16" s="78" t="s">
        <v>207</v>
      </c>
      <c r="C16" s="83">
        <f>-Annual_Summary!B$18</f>
        <v>-9.7096</v>
      </c>
      <c r="D16" s="83">
        <f>-Annual_Summary!C$18</f>
        <v>-11.357099999999997</v>
      </c>
      <c r="E16" s="83">
        <f>-Annual_Summary!D$18</f>
        <v>-12.848000000000006</v>
      </c>
      <c r="F16" s="83">
        <f>-Annual_Summary!E$18</f>
        <v>-14.423999999999999</v>
      </c>
      <c r="G16" s="83">
        <f>-Annual_Summary!F$18</f>
        <v>-16.092400000000001</v>
      </c>
      <c r="H16" s="79" t="s">
        <v>657</v>
      </c>
    </row>
    <row r="17" spans="1:8" ht="28.5">
      <c r="A17" s="77" t="s">
        <v>658</v>
      </c>
      <c r="B17" s="78" t="s">
        <v>207</v>
      </c>
      <c r="C17" s="83">
        <f>-Annual_Summary!B$19</f>
        <v>-0.35099999999999998</v>
      </c>
      <c r="D17" s="83">
        <f>-Annual_Summary!C$19</f>
        <v>-0.90012500000000006</v>
      </c>
      <c r="E17" s="83">
        <f>-Annual_Summary!D$19</f>
        <v>-1.4325000000000001</v>
      </c>
      <c r="F17" s="83">
        <f>-Annual_Summary!E$19</f>
        <v>-2.1735000000000002</v>
      </c>
      <c r="G17" s="83">
        <f>-Annual_Summary!F$19</f>
        <v>-3.069</v>
      </c>
      <c r="H17" s="79" t="s">
        <v>659</v>
      </c>
    </row>
    <row r="18" spans="1:8" ht="28.5">
      <c r="A18" s="77" t="s">
        <v>660</v>
      </c>
      <c r="B18" s="78" t="s">
        <v>207</v>
      </c>
      <c r="C18" s="83">
        <f>-Annual_Summary!B$20</f>
        <v>-0.8999999999999998</v>
      </c>
      <c r="D18" s="83">
        <f>-Annual_Summary!C$20</f>
        <v>-0.48999999999999988</v>
      </c>
      <c r="E18" s="83">
        <f>-Annual_Summary!D$20</f>
        <v>-0.58500000000000008</v>
      </c>
      <c r="F18" s="83">
        <f>-Annual_Summary!E$20</f>
        <v>-0.7200000000000002</v>
      </c>
      <c r="G18" s="83">
        <f>-Annual_Summary!F$20</f>
        <v>-0.66000000000000014</v>
      </c>
      <c r="H18" s="79" t="s">
        <v>661</v>
      </c>
    </row>
    <row r="19" spans="1:8" ht="15">
      <c r="A19" s="84" t="s">
        <v>662</v>
      </c>
      <c r="B19" s="85" t="s">
        <v>207</v>
      </c>
      <c r="C19" s="86">
        <f>SUM(C16:C18)</f>
        <v>-10.960600000000001</v>
      </c>
      <c r="D19" s="86">
        <f>SUM(D16:D18)</f>
        <v>-12.747224999999998</v>
      </c>
      <c r="E19" s="86">
        <f>SUM(E16:E18)</f>
        <v>-14.865500000000008</v>
      </c>
      <c r="F19" s="86">
        <f>SUM(F16:F18)</f>
        <v>-17.317499999999999</v>
      </c>
      <c r="G19" s="86">
        <f>SUM(G16:G18)</f>
        <v>-19.821400000000001</v>
      </c>
      <c r="H19" s="87" t="s">
        <v>663</v>
      </c>
    </row>
    <row r="20" spans="1:8" ht="27" customHeight="1">
      <c r="A20" s="84" t="s">
        <v>664</v>
      </c>
      <c r="B20" s="85" t="s">
        <v>207</v>
      </c>
      <c r="C20" s="86">
        <f>Annual_Summary!B$21</f>
        <v>-7.2682437499999999</v>
      </c>
      <c r="D20" s="86">
        <f>Annual_Summary!C$21</f>
        <v>-2.7773617777777737</v>
      </c>
      <c r="E20" s="86">
        <f>Annual_Summary!D$21</f>
        <v>3.8320830092592564</v>
      </c>
      <c r="F20" s="86">
        <f>Annual_Summary!E$21</f>
        <v>11.667954444444444</v>
      </c>
      <c r="G20" s="86">
        <f>Annual_Summary!F$21</f>
        <v>21.03291722222222</v>
      </c>
      <c r="H20" s="87" t="s">
        <v>665</v>
      </c>
    </row>
    <row r="21" spans="1:8">
      <c r="A21" s="77"/>
      <c r="B21" s="78"/>
      <c r="C21" s="78"/>
      <c r="D21" s="78"/>
      <c r="E21" s="78"/>
      <c r="F21" s="78"/>
      <c r="G21" s="78"/>
      <c r="H21" s="79"/>
    </row>
    <row r="22" spans="1:8">
      <c r="A22" s="77"/>
      <c r="B22" s="78"/>
      <c r="C22" s="78"/>
      <c r="D22" s="78"/>
      <c r="E22" s="78"/>
      <c r="F22" s="78"/>
      <c r="G22" s="78"/>
      <c r="H22" s="79"/>
    </row>
    <row r="23" spans="1:8">
      <c r="A23" s="134" t="s">
        <v>666</v>
      </c>
      <c r="B23" s="129"/>
      <c r="C23" s="129"/>
      <c r="D23" s="129"/>
      <c r="E23" s="129"/>
      <c r="F23" s="129"/>
      <c r="G23" s="129"/>
      <c r="H23" s="129"/>
    </row>
    <row r="24" spans="1:8" ht="27" customHeight="1">
      <c r="A24" s="77" t="s">
        <v>667</v>
      </c>
      <c r="B24" s="78" t="s">
        <v>207</v>
      </c>
      <c r="C24" s="83">
        <f>-Annual_Summary!B$22</f>
        <v>-3.6724999999999999</v>
      </c>
      <c r="D24" s="83">
        <f>-Annual_Summary!C$22</f>
        <v>-8.4411666666666711</v>
      </c>
      <c r="E24" s="83">
        <f>-Annual_Summary!D$22</f>
        <v>-10.95883333333334</v>
      </c>
      <c r="F24" s="83">
        <f>-Annual_Summary!E$22</f>
        <v>-12.940000000000001</v>
      </c>
      <c r="G24" s="83">
        <f>-Annual_Summary!F$22</f>
        <v>-14.859999999999994</v>
      </c>
      <c r="H24" s="79" t="s">
        <v>668</v>
      </c>
    </row>
    <row r="25" spans="1:8" ht="27" customHeight="1">
      <c r="A25" s="77" t="s">
        <v>669</v>
      </c>
      <c r="B25" s="78" t="s">
        <v>207</v>
      </c>
      <c r="C25" s="88">
        <f>-ECL_Module!C26</f>
        <v>0</v>
      </c>
      <c r="D25" s="88">
        <f>-ECL_Module!D26</f>
        <v>-0.19219031999999997</v>
      </c>
      <c r="E25" s="88">
        <f>-ECL_Module!E26</f>
        <v>-0.80194968000000011</v>
      </c>
      <c r="F25" s="88">
        <f>-ECL_Module!F26</f>
        <v>-1.6400300000000001</v>
      </c>
      <c r="G25" s="88">
        <f>-ECL_Module!G26</f>
        <v>-2.3826003040000008</v>
      </c>
      <c r="H25" s="79" t="s">
        <v>670</v>
      </c>
    </row>
    <row r="26" spans="1:8" ht="27" customHeight="1">
      <c r="A26" s="77" t="s">
        <v>671</v>
      </c>
      <c r="B26" s="78" t="s">
        <v>207</v>
      </c>
      <c r="C26" s="88">
        <f>C20+C24+C25</f>
        <v>-10.940743749999999</v>
      </c>
      <c r="D26" s="88">
        <f>D20+D24+D25</f>
        <v>-11.410718764444445</v>
      </c>
      <c r="E26" s="88">
        <f>E20+E24+E25</f>
        <v>-7.9287000040740834</v>
      </c>
      <c r="F26" s="88">
        <f>F20+F24+F25</f>
        <v>-2.9120755555555577</v>
      </c>
      <c r="G26" s="88">
        <f>G20+G24+G25</f>
        <v>3.7903169182222256</v>
      </c>
      <c r="H26" s="79" t="s">
        <v>672</v>
      </c>
    </row>
    <row r="27" spans="1:8" ht="30">
      <c r="A27" s="89" t="s">
        <v>673</v>
      </c>
      <c r="B27" s="90" t="s">
        <v>207</v>
      </c>
      <c r="C27" s="91">
        <f>IF(C26&gt;0,-C26*Assumptions!$B$8,0)</f>
        <v>0</v>
      </c>
      <c r="D27" s="91">
        <f>IF(D26&gt;0,-D26*Assumptions!$B$8,0)</f>
        <v>0</v>
      </c>
      <c r="E27" s="91">
        <f>IF(E26&gt;0,-E26*Assumptions!$B$8,0)</f>
        <v>0</v>
      </c>
      <c r="F27" s="91">
        <f>IF(F26&gt;0,-F26*Assumptions!$B$8,0)</f>
        <v>0</v>
      </c>
      <c r="G27" s="91">
        <f>IF(G26&gt;0,-G26*Assumptions!$B$8,0)</f>
        <v>-0.56854753773333377</v>
      </c>
      <c r="H27" s="92" t="s">
        <v>674</v>
      </c>
    </row>
    <row r="28" spans="1:8">
      <c r="A28" s="77" t="s">
        <v>364</v>
      </c>
      <c r="B28" s="78" t="s">
        <v>207</v>
      </c>
      <c r="C28" s="88">
        <f>C26+C27</f>
        <v>-10.940743749999999</v>
      </c>
      <c r="D28" s="88">
        <f>D26+D27</f>
        <v>-11.410718764444445</v>
      </c>
      <c r="E28" s="88">
        <f>E26+E27</f>
        <v>-7.9287000040740834</v>
      </c>
      <c r="F28" s="88">
        <f>F26+F27</f>
        <v>-2.9120755555555577</v>
      </c>
      <c r="G28" s="88">
        <f>G26+G27</f>
        <v>3.2217693804888921</v>
      </c>
      <c r="H28" s="79" t="s">
        <v>675</v>
      </c>
    </row>
    <row r="29" spans="1:8">
      <c r="A29" s="77" t="s">
        <v>676</v>
      </c>
      <c r="B29" s="78" t="s">
        <v>137</v>
      </c>
      <c r="C29" s="88">
        <f>IFERROR(C27/C10,0)</f>
        <v>0</v>
      </c>
      <c r="D29" s="88">
        <f>IFERROR(D27/D10,0)</f>
        <v>0</v>
      </c>
      <c r="E29" s="88">
        <f>IFERROR(E27/E10,0)</f>
        <v>0</v>
      </c>
      <c r="F29" s="88">
        <f>IFERROR(F27/F10,0)</f>
        <v>0</v>
      </c>
      <c r="G29" s="88">
        <f>IFERROR(G27/G10,0)</f>
        <v>-1.2507145579691346E-2</v>
      </c>
      <c r="H29" s="79" t="s">
        <v>677</v>
      </c>
    </row>
    <row r="30" spans="1:8" ht="28.5">
      <c r="A30" s="77" t="s">
        <v>678</v>
      </c>
      <c r="B30" s="78" t="s">
        <v>137</v>
      </c>
      <c r="C30" s="88">
        <f>IFERROR(-C19/C12,0)</f>
        <v>2.9684567950343363</v>
      </c>
      <c r="D30" s="88">
        <f>IFERROR(-D19/D12,0)</f>
        <v>1.2785757152201653</v>
      </c>
      <c r="E30" s="88">
        <f>IFERROR(-E19/E12,0)</f>
        <v>0.79504928485347215</v>
      </c>
      <c r="F30" s="88">
        <f>IFERROR(-F19/F12,0)</f>
        <v>0.59745483836356383</v>
      </c>
      <c r="G30" s="88">
        <f>IFERROR(-G19/G12,0)</f>
        <v>0.48517271484880881</v>
      </c>
      <c r="H30" s="79" t="s">
        <v>679</v>
      </c>
    </row>
    <row r="31" spans="1:8" ht="15">
      <c r="A31" s="93" t="s">
        <v>680</v>
      </c>
      <c r="B31" s="94"/>
      <c r="C31" s="95"/>
      <c r="D31" s="95"/>
      <c r="E31" s="95"/>
      <c r="F31" s="95"/>
      <c r="G31" s="95"/>
      <c r="H31" s="96"/>
    </row>
    <row r="32" spans="1:8">
      <c r="A32" s="77" t="s">
        <v>681</v>
      </c>
      <c r="B32" s="78" t="s">
        <v>207</v>
      </c>
      <c r="C32" s="88">
        <f>ECL_Module!C12</f>
        <v>0</v>
      </c>
      <c r="D32" s="88">
        <f>ECL_Module!D12</f>
        <v>9.307871999999999E-2</v>
      </c>
      <c r="E32" s="88">
        <f>ECL_Module!E12</f>
        <v>0.35176679999999994</v>
      </c>
      <c r="F32" s="88">
        <f>ECL_Module!F12</f>
        <v>0.85072680000000001</v>
      </c>
      <c r="G32" s="88">
        <f>ECL_Module!G12</f>
        <v>1.5045488640000004</v>
      </c>
      <c r="H32" s="79" t="s">
        <v>682</v>
      </c>
    </row>
    <row r="33" spans="1:8" ht="27" customHeight="1">
      <c r="A33" s="77" t="s">
        <v>683</v>
      </c>
      <c r="B33" s="78" t="s">
        <v>207</v>
      </c>
      <c r="C33" s="88">
        <f>ECL_Module!C13</f>
        <v>0</v>
      </c>
      <c r="D33" s="88">
        <f>ECL_Module!D13</f>
        <v>2.423925E-2</v>
      </c>
      <c r="E33" s="88">
        <f>ECL_Module!E13</f>
        <v>0.12852000000000002</v>
      </c>
      <c r="F33" s="88">
        <f>ECL_Module!F13</f>
        <v>0.34303499999999998</v>
      </c>
      <c r="G33" s="88">
        <f>ECL_Module!G13</f>
        <v>0.66393600000000019</v>
      </c>
      <c r="H33" s="79" t="s">
        <v>684</v>
      </c>
    </row>
    <row r="34" spans="1:8">
      <c r="A34" s="77" t="s">
        <v>685</v>
      </c>
      <c r="B34" s="78" t="s">
        <v>207</v>
      </c>
      <c r="C34" s="88">
        <f>ECL_Module!C14</f>
        <v>0</v>
      </c>
      <c r="D34" s="88">
        <f>ECL_Module!D14</f>
        <v>7.0024500000000003E-2</v>
      </c>
      <c r="E34" s="88">
        <f>ECL_Module!E14</f>
        <v>0.49140000000000011</v>
      </c>
      <c r="F34" s="88">
        <f>ECL_Module!F14</f>
        <v>1.3763750000000001</v>
      </c>
      <c r="G34" s="88">
        <f>ECL_Module!G14</f>
        <v>2.7256320000000005</v>
      </c>
      <c r="H34" s="79" t="s">
        <v>686</v>
      </c>
    </row>
    <row r="35" spans="1:8">
      <c r="A35" s="77" t="s">
        <v>687</v>
      </c>
      <c r="B35" s="78" t="s">
        <v>207</v>
      </c>
      <c r="C35" s="88">
        <f>ECL_Module!C15</f>
        <v>0</v>
      </c>
      <c r="D35" s="88">
        <f>ECL_Module!D15</f>
        <v>0.18734246999999998</v>
      </c>
      <c r="E35" s="88">
        <f>ECL_Module!E15</f>
        <v>0.97168680000000007</v>
      </c>
      <c r="F35" s="88">
        <f>ECL_Module!F15</f>
        <v>2.5701368000000002</v>
      </c>
      <c r="G35" s="88">
        <f>ECL_Module!G15</f>
        <v>4.8941168640000008</v>
      </c>
      <c r="H35" s="79" t="s">
        <v>688</v>
      </c>
    </row>
    <row r="36" spans="1:8">
      <c r="A36" s="77" t="s">
        <v>689</v>
      </c>
      <c r="B36" s="78" t="s">
        <v>207</v>
      </c>
      <c r="C36" s="88">
        <f>ECL_Module!C23</f>
        <v>0</v>
      </c>
      <c r="D36" s="88">
        <f>ECL_Module!D23</f>
        <v>4.8478500000000008E-3</v>
      </c>
      <c r="E36" s="88">
        <f>ECL_Module!E23</f>
        <v>2.24532E-2</v>
      </c>
      <c r="F36" s="88">
        <f>ECL_Module!F23</f>
        <v>6.4033199999999998E-2</v>
      </c>
      <c r="G36" s="88">
        <f>ECL_Module!G23</f>
        <v>0.12265344000000003</v>
      </c>
      <c r="H36" s="79" t="s">
        <v>690</v>
      </c>
    </row>
    <row r="37" spans="1:8">
      <c r="A37" s="77" t="s">
        <v>691</v>
      </c>
      <c r="B37" s="78" t="s">
        <v>137</v>
      </c>
      <c r="C37" s="97">
        <f>ECL_Module!C29</f>
        <v>0</v>
      </c>
      <c r="D37" s="97">
        <f>ECL_Module!D29</f>
        <v>3.7463999999999997E-2</v>
      </c>
      <c r="E37" s="97">
        <f>ECL_Module!E29</f>
        <v>3.5437458241272653E-2</v>
      </c>
      <c r="F37" s="97">
        <f>ECL_Module!F29</f>
        <v>2.9286250000000003E-2</v>
      </c>
      <c r="G37" s="97">
        <f>ECL_Module!G29</f>
        <v>2.3613481704658084E-2</v>
      </c>
      <c r="H37" s="79" t="s">
        <v>692</v>
      </c>
    </row>
    <row r="38" spans="1:8">
      <c r="A38" s="98"/>
      <c r="B38" s="99"/>
      <c r="C38" s="99"/>
      <c r="D38" s="99"/>
      <c r="E38" s="99"/>
      <c r="F38" s="99"/>
      <c r="G38" s="99"/>
      <c r="H38" s="100"/>
    </row>
    <row r="39" spans="1:8">
      <c r="A39" s="98"/>
      <c r="B39" s="99"/>
      <c r="C39" s="99"/>
      <c r="D39" s="99"/>
      <c r="E39" s="99"/>
      <c r="F39" s="99"/>
      <c r="G39" s="99"/>
      <c r="H39" s="100"/>
    </row>
    <row r="40" spans="1:8">
      <c r="A40" s="98"/>
      <c r="B40" s="99"/>
      <c r="C40" s="99"/>
      <c r="D40" s="99"/>
      <c r="E40" s="99"/>
      <c r="F40" s="99"/>
      <c r="G40" s="99"/>
      <c r="H40" s="100"/>
    </row>
    <row r="41" spans="1:8">
      <c r="A41" s="98"/>
      <c r="B41" s="99"/>
      <c r="C41" s="99"/>
      <c r="D41" s="99"/>
      <c r="E41" s="99"/>
      <c r="F41" s="99"/>
      <c r="G41" s="99"/>
      <c r="H41" s="100"/>
    </row>
    <row r="42" spans="1:8">
      <c r="A42" s="98"/>
      <c r="B42" s="99"/>
      <c r="C42" s="99"/>
      <c r="D42" s="99"/>
      <c r="E42" s="99"/>
      <c r="F42" s="99"/>
      <c r="G42" s="99"/>
      <c r="H42" s="100"/>
    </row>
    <row r="43" spans="1:8">
      <c r="A43" s="98"/>
      <c r="B43" s="99"/>
      <c r="C43" s="99"/>
      <c r="D43" s="99"/>
      <c r="E43" s="99"/>
      <c r="F43" s="99"/>
      <c r="G43" s="99"/>
      <c r="H43" s="100"/>
    </row>
    <row r="44" spans="1:8">
      <c r="A44" s="98"/>
      <c r="B44" s="99"/>
      <c r="C44" s="99"/>
      <c r="D44" s="99"/>
      <c r="E44" s="99"/>
      <c r="F44" s="99"/>
      <c r="G44" s="99"/>
      <c r="H44" s="100"/>
    </row>
    <row r="45" spans="1:8">
      <c r="A45" s="98"/>
      <c r="B45" s="99"/>
      <c r="C45" s="99"/>
      <c r="D45" s="99"/>
      <c r="E45" s="99"/>
      <c r="F45" s="99"/>
      <c r="G45" s="99"/>
      <c r="H45" s="100"/>
    </row>
    <row r="46" spans="1:8">
      <c r="A46" s="98"/>
      <c r="B46" s="99"/>
      <c r="C46" s="99"/>
      <c r="D46" s="99"/>
      <c r="E46" s="99"/>
      <c r="F46" s="99"/>
      <c r="G46" s="99"/>
      <c r="H46" s="100"/>
    </row>
    <row r="47" spans="1:8">
      <c r="A47" s="98"/>
      <c r="B47" s="99"/>
      <c r="C47" s="99"/>
      <c r="D47" s="99"/>
      <c r="E47" s="99"/>
      <c r="F47" s="99"/>
      <c r="G47" s="99"/>
      <c r="H47" s="100"/>
    </row>
    <row r="48" spans="1:8">
      <c r="A48" s="98"/>
      <c r="B48" s="99"/>
      <c r="C48" s="99"/>
      <c r="D48" s="99"/>
      <c r="E48" s="99"/>
      <c r="F48" s="99"/>
      <c r="G48" s="99"/>
      <c r="H48" s="100"/>
    </row>
    <row r="49" spans="1:8">
      <c r="A49" s="98"/>
      <c r="B49" s="99"/>
      <c r="C49" s="99"/>
      <c r="D49" s="99"/>
      <c r="E49" s="99"/>
      <c r="F49" s="99"/>
      <c r="G49" s="99"/>
      <c r="H49" s="100"/>
    </row>
    <row r="50" spans="1:8">
      <c r="A50" s="98"/>
      <c r="B50" s="99"/>
      <c r="C50" s="99"/>
      <c r="D50" s="99"/>
      <c r="E50" s="99"/>
      <c r="F50" s="99"/>
      <c r="G50" s="99"/>
      <c r="H50" s="100"/>
    </row>
    <row r="51" spans="1:8">
      <c r="A51" s="98"/>
      <c r="B51" s="99"/>
      <c r="C51" s="99"/>
      <c r="D51" s="99"/>
      <c r="E51" s="99"/>
      <c r="F51" s="99"/>
      <c r="G51" s="99"/>
      <c r="H51" s="100"/>
    </row>
    <row r="52" spans="1:8">
      <c r="A52" s="98"/>
      <c r="B52" s="99"/>
      <c r="C52" s="99"/>
      <c r="D52" s="99"/>
      <c r="E52" s="99"/>
      <c r="F52" s="99"/>
      <c r="G52" s="99"/>
      <c r="H52" s="100"/>
    </row>
    <row r="53" spans="1:8">
      <c r="A53" s="98"/>
      <c r="B53" s="99"/>
      <c r="C53" s="99"/>
      <c r="D53" s="99"/>
      <c r="E53" s="99"/>
      <c r="F53" s="99"/>
      <c r="G53" s="99"/>
      <c r="H53" s="100"/>
    </row>
    <row r="54" spans="1:8">
      <c r="A54" s="98"/>
      <c r="B54" s="99"/>
      <c r="C54" s="99"/>
      <c r="D54" s="99"/>
      <c r="E54" s="99"/>
      <c r="F54" s="99"/>
      <c r="G54" s="99"/>
      <c r="H54" s="100"/>
    </row>
    <row r="55" spans="1:8">
      <c r="A55" s="98"/>
      <c r="B55" s="99"/>
      <c r="C55" s="99"/>
      <c r="D55" s="99"/>
      <c r="E55" s="99"/>
      <c r="F55" s="99"/>
      <c r="G55" s="99"/>
      <c r="H55" s="100"/>
    </row>
    <row r="56" spans="1:8">
      <c r="A56" s="98"/>
      <c r="B56" s="99"/>
      <c r="C56" s="99"/>
      <c r="D56" s="99"/>
      <c r="E56" s="99"/>
      <c r="F56" s="99"/>
      <c r="G56" s="99"/>
      <c r="H56" s="100"/>
    </row>
    <row r="57" spans="1:8">
      <c r="A57" s="98"/>
      <c r="B57" s="99"/>
      <c r="C57" s="99"/>
      <c r="D57" s="99"/>
      <c r="E57" s="99"/>
      <c r="F57" s="99"/>
      <c r="G57" s="99"/>
      <c r="H57" s="100"/>
    </row>
    <row r="58" spans="1:8">
      <c r="A58" s="98"/>
      <c r="B58" s="99"/>
      <c r="C58" s="99"/>
      <c r="D58" s="99"/>
      <c r="E58" s="99"/>
      <c r="F58" s="99"/>
      <c r="G58" s="99"/>
      <c r="H58" s="100"/>
    </row>
    <row r="59" spans="1:8">
      <c r="A59" s="98"/>
      <c r="B59" s="99"/>
      <c r="C59" s="99"/>
      <c r="D59" s="99"/>
      <c r="E59" s="99"/>
      <c r="F59" s="99"/>
      <c r="G59" s="99"/>
      <c r="H59" s="100"/>
    </row>
    <row r="60" spans="1:8">
      <c r="A60" s="98"/>
      <c r="B60" s="99"/>
      <c r="C60" s="99"/>
      <c r="D60" s="99"/>
      <c r="E60" s="99"/>
      <c r="F60" s="99"/>
      <c r="G60" s="99"/>
      <c r="H60" s="100"/>
    </row>
    <row r="61" spans="1:8">
      <c r="A61" s="98"/>
      <c r="B61" s="99"/>
      <c r="C61" s="99"/>
      <c r="D61" s="99"/>
      <c r="E61" s="99"/>
      <c r="F61" s="99"/>
      <c r="G61" s="99"/>
      <c r="H61" s="100"/>
    </row>
    <row r="62" spans="1:8">
      <c r="A62" s="98"/>
      <c r="B62" s="99"/>
      <c r="C62" s="99"/>
      <c r="D62" s="99"/>
      <c r="E62" s="99"/>
      <c r="F62" s="99"/>
      <c r="G62" s="99"/>
      <c r="H62" s="100"/>
    </row>
    <row r="63" spans="1:8">
      <c r="A63" s="98"/>
      <c r="B63" s="99"/>
      <c r="C63" s="99"/>
      <c r="D63" s="99"/>
      <c r="E63" s="99"/>
      <c r="F63" s="99"/>
      <c r="G63" s="99"/>
      <c r="H63" s="100"/>
    </row>
    <row r="64" spans="1:8">
      <c r="A64" s="98"/>
      <c r="B64" s="99"/>
      <c r="C64" s="99"/>
      <c r="D64" s="99"/>
      <c r="E64" s="99"/>
      <c r="F64" s="99"/>
      <c r="G64" s="99"/>
      <c r="H64" s="100"/>
    </row>
    <row r="65" spans="1:8">
      <c r="A65" s="98"/>
      <c r="B65" s="99"/>
      <c r="C65" s="99"/>
      <c r="D65" s="99"/>
      <c r="E65" s="99"/>
      <c r="F65" s="99"/>
      <c r="G65" s="99"/>
      <c r="H65" s="100"/>
    </row>
    <row r="66" spans="1:8">
      <c r="A66" s="98"/>
      <c r="B66" s="99"/>
      <c r="C66" s="99"/>
      <c r="D66" s="99"/>
      <c r="E66" s="99"/>
      <c r="F66" s="99"/>
      <c r="G66" s="99"/>
      <c r="H66" s="100"/>
    </row>
    <row r="67" spans="1:8">
      <c r="A67" s="98"/>
      <c r="B67" s="99"/>
      <c r="C67" s="99"/>
      <c r="D67" s="99"/>
      <c r="E67" s="99"/>
      <c r="F67" s="99"/>
      <c r="G67" s="99"/>
      <c r="H67" s="100"/>
    </row>
    <row r="68" spans="1:8">
      <c r="A68" s="98"/>
      <c r="B68" s="99"/>
      <c r="C68" s="99"/>
      <c r="D68" s="99"/>
      <c r="E68" s="99"/>
      <c r="F68" s="99"/>
      <c r="G68" s="99"/>
      <c r="H68" s="100"/>
    </row>
    <row r="69" spans="1:8">
      <c r="A69" s="98"/>
      <c r="B69" s="99"/>
      <c r="C69" s="99"/>
      <c r="D69" s="99"/>
      <c r="E69" s="99"/>
      <c r="F69" s="99"/>
      <c r="G69" s="99"/>
      <c r="H69" s="100"/>
    </row>
    <row r="70" spans="1:8">
      <c r="A70" s="98"/>
      <c r="B70" s="99"/>
      <c r="C70" s="99"/>
      <c r="D70" s="99"/>
      <c r="E70" s="99"/>
      <c r="F70" s="99"/>
      <c r="G70" s="99"/>
      <c r="H70" s="100"/>
    </row>
    <row r="71" spans="1:8">
      <c r="A71" s="98"/>
      <c r="B71" s="99"/>
      <c r="C71" s="99"/>
      <c r="D71" s="99"/>
      <c r="E71" s="99"/>
      <c r="F71" s="99"/>
      <c r="G71" s="99"/>
      <c r="H71" s="100"/>
    </row>
    <row r="72" spans="1:8">
      <c r="A72" s="98"/>
      <c r="B72" s="99"/>
      <c r="C72" s="99"/>
      <c r="D72" s="99"/>
      <c r="E72" s="99"/>
      <c r="F72" s="99"/>
      <c r="G72" s="99"/>
      <c r="H72" s="100"/>
    </row>
    <row r="73" spans="1:8">
      <c r="A73" s="98"/>
      <c r="B73" s="99"/>
      <c r="C73" s="99"/>
      <c r="D73" s="99"/>
      <c r="E73" s="99"/>
      <c r="F73" s="99"/>
      <c r="G73" s="99"/>
      <c r="H73" s="100"/>
    </row>
    <row r="74" spans="1:8">
      <c r="A74" s="98"/>
      <c r="B74" s="99"/>
      <c r="C74" s="99"/>
      <c r="D74" s="99"/>
      <c r="E74" s="99"/>
      <c r="F74" s="99"/>
      <c r="G74" s="99"/>
      <c r="H74" s="100"/>
    </row>
    <row r="75" spans="1:8">
      <c r="A75" s="98"/>
      <c r="B75" s="99"/>
      <c r="C75" s="99"/>
      <c r="D75" s="99"/>
      <c r="E75" s="99"/>
      <c r="F75" s="99"/>
      <c r="G75" s="99"/>
      <c r="H75" s="100"/>
    </row>
    <row r="76" spans="1:8">
      <c r="A76" s="98"/>
      <c r="B76" s="99"/>
      <c r="C76" s="99"/>
      <c r="D76" s="99"/>
      <c r="E76" s="99"/>
      <c r="F76" s="99"/>
      <c r="G76" s="99"/>
      <c r="H76" s="100"/>
    </row>
    <row r="77" spans="1:8">
      <c r="A77" s="98"/>
      <c r="B77" s="99"/>
      <c r="C77" s="99"/>
      <c r="D77" s="99"/>
      <c r="E77" s="99"/>
      <c r="F77" s="99"/>
      <c r="G77" s="99"/>
      <c r="H77" s="100"/>
    </row>
    <row r="78" spans="1:8">
      <c r="A78" s="98"/>
      <c r="B78" s="99"/>
      <c r="C78" s="99"/>
      <c r="D78" s="99"/>
      <c r="E78" s="99"/>
      <c r="F78" s="99"/>
      <c r="G78" s="99"/>
      <c r="H78" s="100"/>
    </row>
    <row r="79" spans="1:8">
      <c r="A79" s="98"/>
      <c r="B79" s="99"/>
      <c r="C79" s="99"/>
      <c r="D79" s="99"/>
      <c r="E79" s="99"/>
      <c r="F79" s="99"/>
      <c r="G79" s="99"/>
      <c r="H79" s="100"/>
    </row>
    <row r="80" spans="1:8">
      <c r="A80" s="101"/>
      <c r="B80" s="102"/>
      <c r="C80" s="102"/>
      <c r="D80" s="102"/>
      <c r="E80" s="102"/>
      <c r="F80" s="102"/>
      <c r="G80" s="102"/>
      <c r="H80" s="103"/>
    </row>
  </sheetData>
  <mergeCells count="5">
    <mergeCell ref="A15:H15"/>
    <mergeCell ref="A2:H2"/>
    <mergeCell ref="A1:H1"/>
    <mergeCell ref="A23:H23"/>
    <mergeCell ref="A6:H6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H80"/>
  <sheetViews>
    <sheetView workbookViewId="0">
      <selection sqref="A1:XFD1048576"/>
    </sheetView>
  </sheetViews>
  <sheetFormatPr defaultColWidth="8.875" defaultRowHeight="14.25"/>
  <cols>
    <col min="1" max="1" width="36" style="1" customWidth="1"/>
    <col min="2" max="7" width="14" style="1" customWidth="1"/>
    <col min="8" max="8" width="48" style="1" customWidth="1"/>
    <col min="9" max="16384" width="8.875" style="1"/>
  </cols>
  <sheetData>
    <row r="1" spans="1:8" ht="24" customHeight="1">
      <c r="A1" s="136" t="s">
        <v>693</v>
      </c>
      <c r="B1" s="129"/>
      <c r="C1" s="129"/>
      <c r="D1" s="129"/>
      <c r="E1" s="129"/>
      <c r="F1" s="129"/>
      <c r="G1" s="129"/>
      <c r="H1" s="129"/>
    </row>
    <row r="2" spans="1:8" ht="33.950000000000003" customHeight="1">
      <c r="A2" s="135" t="s">
        <v>694</v>
      </c>
      <c r="B2" s="129"/>
      <c r="C2" s="129"/>
      <c r="D2" s="129"/>
      <c r="E2" s="129"/>
      <c r="F2" s="129"/>
      <c r="G2" s="129"/>
      <c r="H2" s="129"/>
    </row>
    <row r="3" spans="1:8">
      <c r="A3" s="77"/>
      <c r="B3" s="78"/>
      <c r="C3" s="78"/>
      <c r="D3" s="78"/>
      <c r="E3" s="78"/>
      <c r="F3" s="78"/>
      <c r="G3" s="78"/>
      <c r="H3" s="79"/>
    </row>
    <row r="4" spans="1:8" ht="39.75" customHeight="1">
      <c r="A4" s="80" t="s">
        <v>641</v>
      </c>
      <c r="B4" s="81" t="s">
        <v>123</v>
      </c>
      <c r="C4" s="81" t="str">
        <f>Annual_Summary!B$3</f>
        <v>Fiscal year 1 August 2026 - July 2027</v>
      </c>
      <c r="D4" s="81" t="str">
        <f>Annual_Summary!C$3</f>
        <v>Fiscal year 2 August 2027 - July 2028</v>
      </c>
      <c r="E4" s="81" t="str">
        <f>Annual_Summary!D$3</f>
        <v>Fiscal year 3 August 2028 - July 2029</v>
      </c>
      <c r="F4" s="81" t="str">
        <f>Annual_Summary!E$3</f>
        <v>Fiscal year 4 August 2029 - July 2030</v>
      </c>
      <c r="G4" s="81" t="str">
        <f>Annual_Summary!F$3</f>
        <v>Fiscal year 5 August 2030 - July 2031</v>
      </c>
      <c r="H4" s="82" t="s">
        <v>642</v>
      </c>
    </row>
    <row r="5" spans="1:8">
      <c r="A5" s="77"/>
      <c r="B5" s="78"/>
      <c r="C5" s="78"/>
      <c r="D5" s="78"/>
      <c r="E5" s="78"/>
      <c r="F5" s="78"/>
      <c r="G5" s="78"/>
      <c r="H5" s="79"/>
    </row>
    <row r="6" spans="1:8">
      <c r="A6" s="134" t="s">
        <v>695</v>
      </c>
      <c r="B6" s="129"/>
      <c r="C6" s="129"/>
      <c r="D6" s="129"/>
      <c r="E6" s="129"/>
      <c r="F6" s="129"/>
      <c r="G6" s="129"/>
      <c r="H6" s="129"/>
    </row>
    <row r="7" spans="1:8" ht="28.5">
      <c r="A7" s="77" t="s">
        <v>696</v>
      </c>
      <c r="B7" s="78" t="s">
        <v>207</v>
      </c>
      <c r="C7" s="88">
        <f>FS_Cash_Flows!C31</f>
        <v>36.831756250000005</v>
      </c>
      <c r="D7" s="88">
        <f>FS_Cash_Flows!D31</f>
        <v>80.99439447222224</v>
      </c>
      <c r="E7" s="88">
        <f>FS_Cash_Flows!E31</f>
        <v>139.28647748148148</v>
      </c>
      <c r="F7" s="88">
        <f>FS_Cash_Flows!F31</f>
        <v>179.35443192592592</v>
      </c>
      <c r="G7" s="88">
        <f>FS_Cash_Flows!G31</f>
        <v>234.41880161041479</v>
      </c>
      <c r="H7" s="79" t="s">
        <v>697</v>
      </c>
    </row>
    <row r="8" spans="1:8" ht="28.5">
      <c r="A8" s="77" t="s">
        <v>698</v>
      </c>
      <c r="B8" s="78" t="s">
        <v>207</v>
      </c>
      <c r="C8" s="88">
        <f>ECL_Module!C5</f>
        <v>0</v>
      </c>
      <c r="D8" s="88">
        <f>ECL_Module!D5</f>
        <v>10.26</v>
      </c>
      <c r="E8" s="88">
        <f>ECL_Module!E5</f>
        <v>35</v>
      </c>
      <c r="F8" s="88">
        <f>ECL_Module!F5</f>
        <v>77</v>
      </c>
      <c r="G8" s="88">
        <f>ECL_Module!G5</f>
        <v>124.80000000000001</v>
      </c>
      <c r="H8" s="79" t="s">
        <v>699</v>
      </c>
    </row>
    <row r="9" spans="1:8" ht="28.5">
      <c r="A9" s="77" t="s">
        <v>700</v>
      </c>
      <c r="B9" s="78" t="s">
        <v>207</v>
      </c>
      <c r="C9" s="88">
        <f>-ECL_Module!C12</f>
        <v>0</v>
      </c>
      <c r="D9" s="88">
        <f>-ECL_Module!D12</f>
        <v>-9.307871999999999E-2</v>
      </c>
      <c r="E9" s="88">
        <f>-ECL_Module!E12</f>
        <v>-0.35176679999999994</v>
      </c>
      <c r="F9" s="88">
        <f>-ECL_Module!F12</f>
        <v>-0.85072680000000001</v>
      </c>
      <c r="G9" s="88">
        <f>-ECL_Module!G12</f>
        <v>-1.5045488640000004</v>
      </c>
      <c r="H9" s="79" t="s">
        <v>701</v>
      </c>
    </row>
    <row r="10" spans="1:8" ht="27" customHeight="1">
      <c r="A10" s="77" t="s">
        <v>702</v>
      </c>
      <c r="B10" s="78" t="s">
        <v>207</v>
      </c>
      <c r="C10" s="88">
        <f>-ECL_Module!C13</f>
        <v>0</v>
      </c>
      <c r="D10" s="88">
        <f>-ECL_Module!D13</f>
        <v>-2.423925E-2</v>
      </c>
      <c r="E10" s="88">
        <f>-ECL_Module!E13</f>
        <v>-0.12852000000000002</v>
      </c>
      <c r="F10" s="88">
        <f>-ECL_Module!F13</f>
        <v>-0.34303499999999998</v>
      </c>
      <c r="G10" s="88">
        <f>-ECL_Module!G13</f>
        <v>-0.66393600000000019</v>
      </c>
      <c r="H10" s="79" t="s">
        <v>703</v>
      </c>
    </row>
    <row r="11" spans="1:8" ht="28.5">
      <c r="A11" s="77" t="s">
        <v>704</v>
      </c>
      <c r="B11" s="78" t="s">
        <v>207</v>
      </c>
      <c r="C11" s="88">
        <f>-ECL_Module!C14</f>
        <v>0</v>
      </c>
      <c r="D11" s="88">
        <f>-ECL_Module!D14</f>
        <v>-7.0024500000000003E-2</v>
      </c>
      <c r="E11" s="88">
        <f>-ECL_Module!E14</f>
        <v>-0.49140000000000011</v>
      </c>
      <c r="F11" s="88">
        <f>-ECL_Module!F14</f>
        <v>-1.3763750000000001</v>
      </c>
      <c r="G11" s="88">
        <f>-ECL_Module!G14</f>
        <v>-2.7256320000000005</v>
      </c>
      <c r="H11" s="79" t="s">
        <v>705</v>
      </c>
    </row>
    <row r="12" spans="1:8">
      <c r="A12" s="77" t="s">
        <v>706</v>
      </c>
      <c r="B12" s="78" t="s">
        <v>207</v>
      </c>
      <c r="C12" s="88">
        <f>SUM(C8:C11)</f>
        <v>0</v>
      </c>
      <c r="D12" s="88">
        <f>SUM(D8:D11)</f>
        <v>10.072657529999999</v>
      </c>
      <c r="E12" s="88">
        <f>SUM(E8:E11)</f>
        <v>34.028313199999999</v>
      </c>
      <c r="F12" s="88">
        <f>SUM(F8:F11)</f>
        <v>74.4298632</v>
      </c>
      <c r="G12" s="88">
        <f>SUM(G8:G11)</f>
        <v>119.905883136</v>
      </c>
      <c r="H12" s="79" t="s">
        <v>707</v>
      </c>
    </row>
    <row r="13" spans="1:8" ht="15">
      <c r="A13" s="84" t="s">
        <v>708</v>
      </c>
      <c r="B13" s="85" t="s">
        <v>207</v>
      </c>
      <c r="C13" s="104">
        <f>C7+C12+C14+C15</f>
        <v>67.059256250000004</v>
      </c>
      <c r="D13" s="104">
        <f>D7+D12+D14+D15</f>
        <v>128.15338533555558</v>
      </c>
      <c r="E13" s="104">
        <f>E7+E12+E14+E15</f>
        <v>209.74229068148151</v>
      </c>
      <c r="F13" s="104">
        <f>F7+F12+F14+F15</f>
        <v>286.87179512592593</v>
      </c>
      <c r="G13" s="104">
        <f>G7+G12+G14+G15</f>
        <v>382.15218474641478</v>
      </c>
      <c r="H13" s="87" t="s">
        <v>709</v>
      </c>
    </row>
    <row r="14" spans="1:8">
      <c r="A14" s="77" t="s">
        <v>710</v>
      </c>
      <c r="B14" s="78"/>
      <c r="C14" s="88">
        <f>Annual_Summary!B29</f>
        <v>30.227499999999999</v>
      </c>
      <c r="D14" s="88">
        <f>Annual_Summary!C29</f>
        <v>37.08633333333335</v>
      </c>
      <c r="E14" s="88">
        <f>Annual_Summary!D29</f>
        <v>36.427500000000009</v>
      </c>
      <c r="F14" s="88">
        <f>Annual_Summary!E29</f>
        <v>33.087499999999977</v>
      </c>
      <c r="G14" s="88">
        <f>Annual_Summary!F29</f>
        <v>27.827499999999976</v>
      </c>
      <c r="H14" s="79"/>
    </row>
    <row r="15" spans="1:8">
      <c r="A15" s="77" t="s">
        <v>711</v>
      </c>
      <c r="B15" s="78"/>
      <c r="C15" s="88">
        <v>0</v>
      </c>
      <c r="D15" s="88">
        <v>0</v>
      </c>
      <c r="E15" s="88">
        <v>0</v>
      </c>
      <c r="F15" s="88">
        <v>0</v>
      </c>
      <c r="G15" s="88">
        <v>0</v>
      </c>
      <c r="H15" s="79"/>
    </row>
    <row r="16" spans="1:8">
      <c r="A16" s="134" t="s">
        <v>712</v>
      </c>
      <c r="B16" s="129"/>
      <c r="C16" s="129"/>
      <c r="D16" s="129"/>
      <c r="E16" s="129"/>
      <c r="F16" s="129"/>
      <c r="G16" s="129"/>
      <c r="H16" s="129"/>
    </row>
    <row r="17" spans="1:8" ht="15">
      <c r="A17" s="93" t="s">
        <v>712</v>
      </c>
      <c r="B17" s="94" t="s">
        <v>207</v>
      </c>
      <c r="C17" s="95">
        <f>Annual_Summary!B$10</f>
        <v>48</v>
      </c>
      <c r="D17" s="95">
        <f>Annual_Summary!C$10</f>
        <v>85.5</v>
      </c>
      <c r="E17" s="95">
        <f>Annual_Summary!D$10</f>
        <v>140</v>
      </c>
      <c r="F17" s="95">
        <f>Annual_Summary!E$10</f>
        <v>220</v>
      </c>
      <c r="G17" s="95">
        <f>Annual_Summary!F$10</f>
        <v>312</v>
      </c>
      <c r="H17" s="96" t="s">
        <v>713</v>
      </c>
    </row>
    <row r="18" spans="1:8">
      <c r="A18" s="77" t="s">
        <v>714</v>
      </c>
      <c r="B18" s="78" t="s">
        <v>207</v>
      </c>
      <c r="C18" s="88">
        <f>Annual_Summary!B10</f>
        <v>48</v>
      </c>
      <c r="D18" s="88">
        <f>Annual_Summary!C10</f>
        <v>85.5</v>
      </c>
      <c r="E18" s="88">
        <f>Annual_Summary!D10</f>
        <v>140</v>
      </c>
      <c r="F18" s="88">
        <f>Annual_Summary!E10</f>
        <v>220</v>
      </c>
      <c r="G18" s="88">
        <f>Annual_Summary!F10</f>
        <v>312</v>
      </c>
      <c r="H18" s="79" t="s">
        <v>713</v>
      </c>
    </row>
    <row r="19" spans="1:8" ht="27" customHeight="1">
      <c r="A19" s="77" t="s">
        <v>715</v>
      </c>
      <c r="B19" s="78" t="s">
        <v>207</v>
      </c>
      <c r="C19" s="88">
        <f>ECL_Module!C23</f>
        <v>0</v>
      </c>
      <c r="D19" s="88">
        <f>ECL_Module!D23</f>
        <v>4.8478500000000008E-3</v>
      </c>
      <c r="E19" s="88">
        <f>ECL_Module!E23</f>
        <v>2.24532E-2</v>
      </c>
      <c r="F19" s="88">
        <f>ECL_Module!F23</f>
        <v>6.4033199999999998E-2</v>
      </c>
      <c r="G19" s="88">
        <f>ECL_Module!G23</f>
        <v>0.12265344000000003</v>
      </c>
      <c r="H19" s="79" t="s">
        <v>716</v>
      </c>
    </row>
    <row r="20" spans="1:8" ht="15">
      <c r="A20" s="84" t="s">
        <v>717</v>
      </c>
      <c r="B20" s="85" t="s">
        <v>207</v>
      </c>
      <c r="C20" s="104">
        <v>0</v>
      </c>
      <c r="D20" s="104">
        <v>0</v>
      </c>
      <c r="E20" s="104">
        <v>0</v>
      </c>
      <c r="F20" s="104">
        <v>0</v>
      </c>
      <c r="G20" s="104">
        <v>0</v>
      </c>
      <c r="H20" s="87" t="s">
        <v>718</v>
      </c>
    </row>
    <row r="21" spans="1:8">
      <c r="A21" s="77" t="s">
        <v>719</v>
      </c>
      <c r="B21" s="78"/>
      <c r="C21" s="88">
        <f>SUM(C18:C20)</f>
        <v>48</v>
      </c>
      <c r="D21" s="88">
        <f>SUM(D18:D20)</f>
        <v>85.504847850000004</v>
      </c>
      <c r="E21" s="88">
        <f>SUM(E18:E20)</f>
        <v>140.0224532</v>
      </c>
      <c r="F21" s="88">
        <f>SUM(F18:F20)</f>
        <v>220.06403320000001</v>
      </c>
      <c r="G21" s="88">
        <f>SUM(G18:G20)</f>
        <v>312.12265344000002</v>
      </c>
      <c r="H21" s="79" t="s">
        <v>720</v>
      </c>
    </row>
    <row r="22" spans="1:8">
      <c r="A22" s="77"/>
      <c r="B22" s="78"/>
      <c r="C22" s="88"/>
      <c r="D22" s="88"/>
      <c r="E22" s="88"/>
      <c r="F22" s="88"/>
      <c r="G22" s="88"/>
      <c r="H22" s="79"/>
    </row>
    <row r="23" spans="1:8">
      <c r="A23" s="137" t="s">
        <v>721</v>
      </c>
      <c r="B23" s="129"/>
      <c r="C23" s="129"/>
      <c r="D23" s="129"/>
      <c r="E23" s="129"/>
      <c r="F23" s="129"/>
      <c r="G23" s="129"/>
      <c r="H23" s="129"/>
    </row>
    <row r="24" spans="1:8">
      <c r="A24" s="77" t="s">
        <v>722</v>
      </c>
      <c r="B24" s="78" t="s">
        <v>207</v>
      </c>
      <c r="C24" s="88">
        <f>Annual_Summary!B30</f>
        <v>30</v>
      </c>
      <c r="D24" s="88">
        <f>Annual_Summary!C30</f>
        <v>65</v>
      </c>
      <c r="E24" s="88">
        <f>Annual_Summary!D30</f>
        <v>100</v>
      </c>
      <c r="F24" s="88">
        <f>Annual_Summary!E30</f>
        <v>100</v>
      </c>
      <c r="G24" s="88">
        <f>Annual_Summary!F30</f>
        <v>100</v>
      </c>
      <c r="H24" s="79" t="s">
        <v>723</v>
      </c>
    </row>
    <row r="25" spans="1:8" ht="27" customHeight="1">
      <c r="A25" s="77" t="s">
        <v>724</v>
      </c>
      <c r="B25" s="78" t="s">
        <v>207</v>
      </c>
      <c r="C25" s="88">
        <f>FS_Shareholders_Equity!C17</f>
        <v>-10.940743749999999</v>
      </c>
      <c r="D25" s="88">
        <f>FS_Shareholders_Equity!D17</f>
        <v>-22.351462514444442</v>
      </c>
      <c r="E25" s="88">
        <f>FS_Shareholders_Equity!E17</f>
        <v>-30.280162518518527</v>
      </c>
      <c r="F25" s="88">
        <f>FS_Shareholders_Equity!F17</f>
        <v>-33.192238074074083</v>
      </c>
      <c r="G25" s="88">
        <f>FS_Shareholders_Equity!G17</f>
        <v>-29.97046869358519</v>
      </c>
      <c r="H25" s="79" t="s">
        <v>725</v>
      </c>
    </row>
    <row r="26" spans="1:8" ht="15">
      <c r="A26" s="84" t="s">
        <v>726</v>
      </c>
      <c r="B26" s="85" t="s">
        <v>207</v>
      </c>
      <c r="C26" s="104">
        <f>C24+C25</f>
        <v>19.059256250000001</v>
      </c>
      <c r="D26" s="104">
        <f>D24+D25</f>
        <v>42.648537485555558</v>
      </c>
      <c r="E26" s="104">
        <f>E24+E25</f>
        <v>69.719837481481477</v>
      </c>
      <c r="F26" s="104">
        <f>F24+F25</f>
        <v>66.807761925925917</v>
      </c>
      <c r="G26" s="104">
        <f>G24+G25</f>
        <v>70.02953130641481</v>
      </c>
      <c r="H26" s="87" t="s">
        <v>727</v>
      </c>
    </row>
    <row r="27" spans="1:8" ht="30">
      <c r="A27" s="84" t="s">
        <v>728</v>
      </c>
      <c r="B27" s="85" t="s">
        <v>207</v>
      </c>
      <c r="C27" s="104">
        <f>C21+C26</f>
        <v>67.059256250000004</v>
      </c>
      <c r="D27" s="104">
        <f>D21+D26</f>
        <v>128.15338533555556</v>
      </c>
      <c r="E27" s="104">
        <f>E21+E26</f>
        <v>209.74229068148148</v>
      </c>
      <c r="F27" s="104">
        <f>F21+F26</f>
        <v>286.87179512592593</v>
      </c>
      <c r="G27" s="104">
        <f>G21+G26</f>
        <v>382.15218474641483</v>
      </c>
      <c r="H27" s="87" t="s">
        <v>729</v>
      </c>
    </row>
    <row r="28" spans="1:8" ht="15">
      <c r="A28" s="105" t="s">
        <v>361</v>
      </c>
      <c r="B28" s="106" t="s">
        <v>207</v>
      </c>
      <c r="C28" s="107">
        <f>C13-C27</f>
        <v>0</v>
      </c>
      <c r="D28" s="107">
        <f>D13-D27</f>
        <v>0</v>
      </c>
      <c r="E28" s="107">
        <f>E13-E27</f>
        <v>0</v>
      </c>
      <c r="F28" s="107">
        <f>F13-F27</f>
        <v>0</v>
      </c>
      <c r="G28" s="107">
        <f>G13-G27</f>
        <v>0</v>
      </c>
      <c r="H28" s="108" t="s">
        <v>730</v>
      </c>
    </row>
    <row r="29" spans="1:8">
      <c r="A29" s="77"/>
      <c r="B29" s="78"/>
      <c r="C29" s="78"/>
      <c r="D29" s="78"/>
      <c r="E29" s="78"/>
      <c r="F29" s="78"/>
      <c r="G29" s="78"/>
      <c r="H29" s="79"/>
    </row>
    <row r="30" spans="1:8">
      <c r="A30" s="77"/>
      <c r="B30" s="78"/>
      <c r="C30" s="78"/>
      <c r="D30" s="78"/>
      <c r="E30" s="78"/>
      <c r="F30" s="78"/>
      <c r="G30" s="78"/>
      <c r="H30" s="79"/>
    </row>
    <row r="31" spans="1:8">
      <c r="A31" s="77"/>
      <c r="B31" s="78"/>
      <c r="C31" s="78"/>
      <c r="D31" s="78"/>
      <c r="E31" s="78"/>
      <c r="F31" s="78"/>
      <c r="G31" s="78"/>
      <c r="H31" s="79"/>
    </row>
    <row r="32" spans="1:8">
      <c r="A32" s="134" t="s">
        <v>731</v>
      </c>
      <c r="B32" s="129"/>
      <c r="C32" s="129"/>
      <c r="D32" s="129"/>
      <c r="E32" s="129"/>
      <c r="F32" s="129"/>
      <c r="G32" s="129"/>
      <c r="H32" s="129"/>
    </row>
    <row r="33" spans="1:8" ht="27" customHeight="1">
      <c r="A33" s="77" t="s">
        <v>732</v>
      </c>
      <c r="B33" s="78" t="s">
        <v>207</v>
      </c>
      <c r="C33" s="83">
        <f>Annual_Summary!B$35</f>
        <v>31.916139999999999</v>
      </c>
      <c r="D33" s="83">
        <f>Annual_Summary!C$35</f>
        <v>46.72084833333335</v>
      </c>
      <c r="E33" s="83">
        <f>Annual_Summary!D$35</f>
        <v>64.944450000000003</v>
      </c>
      <c r="F33" s="83">
        <f>Annual_Summary!E$35</f>
        <v>93.487099999999984</v>
      </c>
      <c r="G33" s="83">
        <f>Annual_Summary!F$35</f>
        <v>124.45515999999998</v>
      </c>
      <c r="H33" s="79" t="s">
        <v>733</v>
      </c>
    </row>
    <row r="34" spans="1:8">
      <c r="A34" s="77" t="s">
        <v>318</v>
      </c>
      <c r="B34" s="78" t="s">
        <v>137</v>
      </c>
      <c r="C34" s="97">
        <f>Annual_Summary!B$36</f>
        <v>0.59716670781617076</v>
      </c>
      <c r="D34" s="97">
        <f>Annual_Summary!C$36</f>
        <v>0.9128373950163835</v>
      </c>
      <c r="E34" s="97">
        <f>Annual_Summary!D$36</f>
        <v>1.0735303398747926</v>
      </c>
      <c r="F34" s="97">
        <f>Annual_Summary!E$36</f>
        <v>0.71462011257088864</v>
      </c>
      <c r="G34" s="97">
        <f>Annual_Summary!F$36</f>
        <v>0.56268885361133136</v>
      </c>
      <c r="H34" s="79" t="s">
        <v>734</v>
      </c>
    </row>
    <row r="35" spans="1:8">
      <c r="A35" s="77" t="s">
        <v>319</v>
      </c>
      <c r="B35" s="78" t="s">
        <v>137</v>
      </c>
      <c r="C35" s="97">
        <f>Annual_Summary!B$37</f>
        <v>3.2611450846354164</v>
      </c>
      <c r="D35" s="97">
        <f>Annual_Summary!C$37</f>
        <v>4.0226786269087071</v>
      </c>
      <c r="E35" s="97">
        <f>Annual_Summary!D$37</f>
        <v>4.2105441947503301</v>
      </c>
      <c r="F35" s="97">
        <f>Annual_Summary!E$37</f>
        <v>3.4284194551741369</v>
      </c>
      <c r="G35" s="97">
        <f>Annual_Summary!F$37</f>
        <v>3.1346985297207004</v>
      </c>
      <c r="H35" s="79" t="s">
        <v>735</v>
      </c>
    </row>
    <row r="36" spans="1:8">
      <c r="A36" s="77" t="s">
        <v>320</v>
      </c>
      <c r="B36" s="78" t="s">
        <v>137</v>
      </c>
      <c r="C36" s="97">
        <f>Annual_Summary!B$38</f>
        <v>1.4245060375485901</v>
      </c>
      <c r="D36" s="97">
        <f>Annual_Summary!C$38</f>
        <v>1.8670190110875013</v>
      </c>
      <c r="E36" s="97">
        <f>Annual_Summary!D$38</f>
        <v>2.1174535054434132</v>
      </c>
      <c r="F36" s="97">
        <f>Annual_Summary!E$38</f>
        <v>1.801939614242557</v>
      </c>
      <c r="G36" s="97">
        <f>Annual_Summary!F$38</f>
        <v>1.6933424258367265</v>
      </c>
      <c r="H36" s="79" t="s">
        <v>736</v>
      </c>
    </row>
    <row r="37" spans="1:8">
      <c r="A37" s="77" t="s">
        <v>737</v>
      </c>
      <c r="B37" s="78" t="s">
        <v>137</v>
      </c>
      <c r="C37" s="97">
        <f>Annual_Summary!B$39</f>
        <v>0</v>
      </c>
      <c r="D37" s="97">
        <f>Annual_Summary!C$39</f>
        <v>0.12</v>
      </c>
      <c r="E37" s="97">
        <f>Annual_Summary!D$39</f>
        <v>0.25</v>
      </c>
      <c r="F37" s="97">
        <f>Annual_Summary!E$39</f>
        <v>0.35</v>
      </c>
      <c r="G37" s="97">
        <f>Annual_Summary!F$39</f>
        <v>0.4</v>
      </c>
      <c r="H37" s="79" t="s">
        <v>738</v>
      </c>
    </row>
    <row r="38" spans="1:8" ht="27" customHeight="1">
      <c r="A38" s="77" t="s">
        <v>739</v>
      </c>
      <c r="B38" s="78" t="s">
        <v>207</v>
      </c>
      <c r="C38" s="83">
        <f>Annual_Summary!B$33</f>
        <v>36.831756250000005</v>
      </c>
      <c r="D38" s="83">
        <f>Annual_Summary!C$33</f>
        <v>80.99439447222224</v>
      </c>
      <c r="E38" s="83">
        <f>Annual_Summary!D$33</f>
        <v>139.28647748148148</v>
      </c>
      <c r="F38" s="83">
        <f>Annual_Summary!E$33</f>
        <v>179.35443192592592</v>
      </c>
      <c r="G38" s="83">
        <f>Annual_Summary!F$33</f>
        <v>234.41880161041479</v>
      </c>
      <c r="H38" s="79" t="s">
        <v>740</v>
      </c>
    </row>
    <row r="39" spans="1:8" ht="28.5">
      <c r="A39" s="77" t="s">
        <v>741</v>
      </c>
      <c r="B39" s="78" t="s">
        <v>207</v>
      </c>
      <c r="C39" s="83">
        <f>SUM(Annual_Summary!$B$23:'Annual_Summary'!B$23)</f>
        <v>0</v>
      </c>
      <c r="D39" s="83">
        <f>SUM(Annual_Summary!$B$23:'Annual_Summary'!C$23)</f>
        <v>0.19219031999999997</v>
      </c>
      <c r="E39" s="83">
        <f>SUM(Annual_Summary!$B$23:'Annual_Summary'!D$23)</f>
        <v>0.99414000000000002</v>
      </c>
      <c r="F39" s="83">
        <f>SUM(Annual_Summary!$B$23:'Annual_Summary'!E$23)</f>
        <v>2.6341700000000001</v>
      </c>
      <c r="G39" s="83">
        <f>SUM(Annual_Summary!$B$23:'Annual_Summary'!F$23)</f>
        <v>5.0167703040000013</v>
      </c>
      <c r="H39" s="79" t="s">
        <v>742</v>
      </c>
    </row>
    <row r="40" spans="1:8">
      <c r="A40" s="98"/>
      <c r="B40" s="99"/>
      <c r="C40" s="99"/>
      <c r="D40" s="99"/>
      <c r="E40" s="99"/>
      <c r="F40" s="99"/>
      <c r="G40" s="99"/>
      <c r="H40" s="100"/>
    </row>
    <row r="41" spans="1:8">
      <c r="A41" s="98"/>
      <c r="B41" s="99"/>
      <c r="C41" s="99"/>
      <c r="D41" s="99"/>
      <c r="E41" s="99"/>
      <c r="F41" s="99"/>
      <c r="G41" s="99"/>
      <c r="H41" s="100"/>
    </row>
    <row r="42" spans="1:8">
      <c r="A42" s="98"/>
      <c r="B42" s="99"/>
      <c r="C42" s="99"/>
      <c r="D42" s="99"/>
      <c r="E42" s="99"/>
      <c r="F42" s="99"/>
      <c r="G42" s="99"/>
      <c r="H42" s="100"/>
    </row>
    <row r="43" spans="1:8">
      <c r="A43" s="98"/>
      <c r="B43" s="99"/>
      <c r="C43" s="99"/>
      <c r="D43" s="99"/>
      <c r="E43" s="99"/>
      <c r="F43" s="99"/>
      <c r="G43" s="99"/>
      <c r="H43" s="100"/>
    </row>
    <row r="44" spans="1:8">
      <c r="A44" s="98"/>
      <c r="B44" s="99"/>
      <c r="C44" s="99"/>
      <c r="D44" s="99"/>
      <c r="E44" s="99"/>
      <c r="F44" s="99"/>
      <c r="G44" s="99"/>
      <c r="H44" s="100"/>
    </row>
    <row r="45" spans="1:8">
      <c r="A45" s="98"/>
      <c r="B45" s="99"/>
      <c r="C45" s="99"/>
      <c r="D45" s="99"/>
      <c r="E45" s="99"/>
      <c r="F45" s="99"/>
      <c r="G45" s="99"/>
      <c r="H45" s="100"/>
    </row>
    <row r="46" spans="1:8">
      <c r="A46" s="98"/>
      <c r="B46" s="99"/>
      <c r="C46" s="99"/>
      <c r="D46" s="99"/>
      <c r="E46" s="99"/>
      <c r="F46" s="99"/>
      <c r="G46" s="99"/>
      <c r="H46" s="100"/>
    </row>
    <row r="47" spans="1:8">
      <c r="A47" s="98"/>
      <c r="B47" s="99"/>
      <c r="C47" s="99"/>
      <c r="D47" s="99"/>
      <c r="E47" s="99"/>
      <c r="F47" s="99"/>
      <c r="G47" s="99"/>
      <c r="H47" s="100"/>
    </row>
    <row r="48" spans="1:8">
      <c r="A48" s="98"/>
      <c r="B48" s="99"/>
      <c r="C48" s="99"/>
      <c r="D48" s="99"/>
      <c r="E48" s="99"/>
      <c r="F48" s="99"/>
      <c r="G48" s="99"/>
      <c r="H48" s="100"/>
    </row>
    <row r="49" spans="1:8">
      <c r="A49" s="98"/>
      <c r="B49" s="99"/>
      <c r="C49" s="99"/>
      <c r="D49" s="99"/>
      <c r="E49" s="99"/>
      <c r="F49" s="99"/>
      <c r="G49" s="99"/>
      <c r="H49" s="100"/>
    </row>
    <row r="50" spans="1:8">
      <c r="A50" s="98"/>
      <c r="B50" s="99"/>
      <c r="C50" s="99"/>
      <c r="D50" s="99"/>
      <c r="E50" s="99"/>
      <c r="F50" s="99"/>
      <c r="G50" s="99"/>
      <c r="H50" s="100"/>
    </row>
    <row r="51" spans="1:8">
      <c r="A51" s="98"/>
      <c r="B51" s="99"/>
      <c r="C51" s="99"/>
      <c r="D51" s="99"/>
      <c r="E51" s="99"/>
      <c r="F51" s="99"/>
      <c r="G51" s="99"/>
      <c r="H51" s="100"/>
    </row>
    <row r="52" spans="1:8">
      <c r="A52" s="98"/>
      <c r="B52" s="99"/>
      <c r="C52" s="99"/>
      <c r="D52" s="99"/>
      <c r="E52" s="99"/>
      <c r="F52" s="99"/>
      <c r="G52" s="99"/>
      <c r="H52" s="100"/>
    </row>
    <row r="53" spans="1:8">
      <c r="A53" s="98"/>
      <c r="B53" s="99"/>
      <c r="C53" s="99"/>
      <c r="D53" s="99"/>
      <c r="E53" s="99"/>
      <c r="F53" s="99"/>
      <c r="G53" s="99"/>
      <c r="H53" s="100"/>
    </row>
    <row r="54" spans="1:8">
      <c r="A54" s="98"/>
      <c r="B54" s="99"/>
      <c r="C54" s="99"/>
      <c r="D54" s="99"/>
      <c r="E54" s="99"/>
      <c r="F54" s="99"/>
      <c r="G54" s="99"/>
      <c r="H54" s="100"/>
    </row>
    <row r="55" spans="1:8">
      <c r="A55" s="98"/>
      <c r="B55" s="99"/>
      <c r="C55" s="99"/>
      <c r="D55" s="99"/>
      <c r="E55" s="99"/>
      <c r="F55" s="99"/>
      <c r="G55" s="99"/>
      <c r="H55" s="100"/>
    </row>
    <row r="56" spans="1:8">
      <c r="A56" s="98"/>
      <c r="B56" s="99"/>
      <c r="C56" s="99"/>
      <c r="D56" s="99"/>
      <c r="E56" s="99"/>
      <c r="F56" s="99"/>
      <c r="G56" s="99"/>
      <c r="H56" s="100"/>
    </row>
    <row r="57" spans="1:8">
      <c r="A57" s="98"/>
      <c r="B57" s="99"/>
      <c r="C57" s="99"/>
      <c r="D57" s="99"/>
      <c r="E57" s="99"/>
      <c r="F57" s="99"/>
      <c r="G57" s="99"/>
      <c r="H57" s="100"/>
    </row>
    <row r="58" spans="1:8">
      <c r="A58" s="98"/>
      <c r="B58" s="99"/>
      <c r="C58" s="99"/>
      <c r="D58" s="99"/>
      <c r="E58" s="99"/>
      <c r="F58" s="99"/>
      <c r="G58" s="99"/>
      <c r="H58" s="100"/>
    </row>
    <row r="59" spans="1:8">
      <c r="A59" s="98"/>
      <c r="B59" s="99"/>
      <c r="C59" s="99"/>
      <c r="D59" s="99"/>
      <c r="E59" s="99"/>
      <c r="F59" s="99"/>
      <c r="G59" s="99"/>
      <c r="H59" s="100"/>
    </row>
    <row r="60" spans="1:8">
      <c r="A60" s="98"/>
      <c r="B60" s="99"/>
      <c r="C60" s="99"/>
      <c r="D60" s="99"/>
      <c r="E60" s="99"/>
      <c r="F60" s="99"/>
      <c r="G60" s="99"/>
      <c r="H60" s="100"/>
    </row>
    <row r="61" spans="1:8">
      <c r="A61" s="98"/>
      <c r="B61" s="99"/>
      <c r="C61" s="99"/>
      <c r="D61" s="99"/>
      <c r="E61" s="99"/>
      <c r="F61" s="99"/>
      <c r="G61" s="99"/>
      <c r="H61" s="100"/>
    </row>
    <row r="62" spans="1:8">
      <c r="A62" s="98"/>
      <c r="B62" s="99"/>
      <c r="C62" s="99"/>
      <c r="D62" s="99"/>
      <c r="E62" s="99"/>
      <c r="F62" s="99"/>
      <c r="G62" s="99"/>
      <c r="H62" s="100"/>
    </row>
    <row r="63" spans="1:8">
      <c r="A63" s="98"/>
      <c r="B63" s="99"/>
      <c r="C63" s="99"/>
      <c r="D63" s="99"/>
      <c r="E63" s="99"/>
      <c r="F63" s="99"/>
      <c r="G63" s="99"/>
      <c r="H63" s="100"/>
    </row>
    <row r="64" spans="1:8">
      <c r="A64" s="98"/>
      <c r="B64" s="99"/>
      <c r="C64" s="99"/>
      <c r="D64" s="99"/>
      <c r="E64" s="99"/>
      <c r="F64" s="99"/>
      <c r="G64" s="99"/>
      <c r="H64" s="100"/>
    </row>
    <row r="65" spans="1:8">
      <c r="A65" s="98"/>
      <c r="B65" s="99"/>
      <c r="C65" s="99"/>
      <c r="D65" s="99"/>
      <c r="E65" s="99"/>
      <c r="F65" s="99"/>
      <c r="G65" s="99"/>
      <c r="H65" s="100"/>
    </row>
    <row r="66" spans="1:8">
      <c r="A66" s="98"/>
      <c r="B66" s="99"/>
      <c r="C66" s="99"/>
      <c r="D66" s="99"/>
      <c r="E66" s="99"/>
      <c r="F66" s="99"/>
      <c r="G66" s="99"/>
      <c r="H66" s="100"/>
    </row>
    <row r="67" spans="1:8">
      <c r="A67" s="98"/>
      <c r="B67" s="99"/>
      <c r="C67" s="99"/>
      <c r="D67" s="99"/>
      <c r="E67" s="99"/>
      <c r="F67" s="99"/>
      <c r="G67" s="99"/>
      <c r="H67" s="100"/>
    </row>
    <row r="68" spans="1:8">
      <c r="A68" s="98"/>
      <c r="B68" s="99"/>
      <c r="C68" s="99"/>
      <c r="D68" s="99"/>
      <c r="E68" s="99"/>
      <c r="F68" s="99"/>
      <c r="G68" s="99"/>
      <c r="H68" s="100"/>
    </row>
    <row r="69" spans="1:8">
      <c r="A69" s="98"/>
      <c r="B69" s="99"/>
      <c r="C69" s="99"/>
      <c r="D69" s="99"/>
      <c r="E69" s="99"/>
      <c r="F69" s="99"/>
      <c r="G69" s="99"/>
      <c r="H69" s="100"/>
    </row>
    <row r="70" spans="1:8">
      <c r="A70" s="98"/>
      <c r="B70" s="99"/>
      <c r="C70" s="99"/>
      <c r="D70" s="99"/>
      <c r="E70" s="99"/>
      <c r="F70" s="99"/>
      <c r="G70" s="99"/>
      <c r="H70" s="100"/>
    </row>
    <row r="71" spans="1:8">
      <c r="A71" s="98"/>
      <c r="B71" s="99"/>
      <c r="C71" s="99"/>
      <c r="D71" s="99"/>
      <c r="E71" s="99"/>
      <c r="F71" s="99"/>
      <c r="G71" s="99"/>
      <c r="H71" s="100"/>
    </row>
    <row r="72" spans="1:8">
      <c r="A72" s="98"/>
      <c r="B72" s="99"/>
      <c r="C72" s="99"/>
      <c r="D72" s="99"/>
      <c r="E72" s="99"/>
      <c r="F72" s="99"/>
      <c r="G72" s="99"/>
      <c r="H72" s="100"/>
    </row>
    <row r="73" spans="1:8">
      <c r="A73" s="98"/>
      <c r="B73" s="99"/>
      <c r="C73" s="99"/>
      <c r="D73" s="99"/>
      <c r="E73" s="99"/>
      <c r="F73" s="99"/>
      <c r="G73" s="99"/>
      <c r="H73" s="100"/>
    </row>
    <row r="74" spans="1:8">
      <c r="A74" s="98"/>
      <c r="B74" s="99"/>
      <c r="C74" s="99"/>
      <c r="D74" s="99"/>
      <c r="E74" s="99"/>
      <c r="F74" s="99"/>
      <c r="G74" s="99"/>
      <c r="H74" s="100"/>
    </row>
    <row r="75" spans="1:8">
      <c r="A75" s="98"/>
      <c r="B75" s="99"/>
      <c r="C75" s="99"/>
      <c r="D75" s="99"/>
      <c r="E75" s="99"/>
      <c r="F75" s="99"/>
      <c r="G75" s="99"/>
      <c r="H75" s="100"/>
    </row>
    <row r="76" spans="1:8">
      <c r="A76" s="98"/>
      <c r="B76" s="99"/>
      <c r="C76" s="99"/>
      <c r="D76" s="99"/>
      <c r="E76" s="99"/>
      <c r="F76" s="99"/>
      <c r="G76" s="99"/>
      <c r="H76" s="100"/>
    </row>
    <row r="77" spans="1:8">
      <c r="A77" s="98"/>
      <c r="B77" s="99"/>
      <c r="C77" s="99"/>
      <c r="D77" s="99"/>
      <c r="E77" s="99"/>
      <c r="F77" s="99"/>
      <c r="G77" s="99"/>
      <c r="H77" s="100"/>
    </row>
    <row r="78" spans="1:8">
      <c r="A78" s="98"/>
      <c r="B78" s="99"/>
      <c r="C78" s="99"/>
      <c r="D78" s="99"/>
      <c r="E78" s="99"/>
      <c r="F78" s="99"/>
      <c r="G78" s="99"/>
      <c r="H78" s="100"/>
    </row>
    <row r="79" spans="1:8">
      <c r="A79" s="98"/>
      <c r="B79" s="99"/>
      <c r="C79" s="99"/>
      <c r="D79" s="99"/>
      <c r="E79" s="99"/>
      <c r="F79" s="99"/>
      <c r="G79" s="99"/>
      <c r="H79" s="100"/>
    </row>
    <row r="80" spans="1:8">
      <c r="A80" s="101"/>
      <c r="B80" s="102"/>
      <c r="C80" s="102"/>
      <c r="D80" s="102"/>
      <c r="E80" s="102"/>
      <c r="F80" s="102"/>
      <c r="G80" s="102"/>
      <c r="H80" s="103"/>
    </row>
  </sheetData>
  <mergeCells count="6">
    <mergeCell ref="A2:H2"/>
    <mergeCell ref="A16:H16"/>
    <mergeCell ref="A1:H1"/>
    <mergeCell ref="A23:H23"/>
    <mergeCell ref="A32:H32"/>
    <mergeCell ref="A6:H6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H80"/>
  <sheetViews>
    <sheetView workbookViewId="0">
      <selection sqref="A1:XFD1048576"/>
    </sheetView>
  </sheetViews>
  <sheetFormatPr defaultColWidth="8.875" defaultRowHeight="14.25"/>
  <cols>
    <col min="1" max="1" width="36" style="1" customWidth="1"/>
    <col min="2" max="7" width="14" style="1" customWidth="1"/>
    <col min="8" max="8" width="48" style="1" customWidth="1"/>
    <col min="9" max="16384" width="8.875" style="1"/>
  </cols>
  <sheetData>
    <row r="1" spans="1:8" ht="24" customHeight="1">
      <c r="A1" s="136" t="s">
        <v>743</v>
      </c>
      <c r="B1" s="129"/>
      <c r="C1" s="129"/>
      <c r="D1" s="129"/>
      <c r="E1" s="129"/>
      <c r="F1" s="129"/>
      <c r="G1" s="129"/>
      <c r="H1" s="129"/>
    </row>
    <row r="2" spans="1:8" ht="33.950000000000003" customHeight="1">
      <c r="A2" s="135" t="s">
        <v>744</v>
      </c>
      <c r="B2" s="129"/>
      <c r="C2" s="129"/>
      <c r="D2" s="129"/>
      <c r="E2" s="129"/>
      <c r="F2" s="129"/>
      <c r="G2" s="129"/>
      <c r="H2" s="129"/>
    </row>
    <row r="3" spans="1:8">
      <c r="A3" s="77"/>
      <c r="B3" s="78"/>
      <c r="C3" s="78"/>
      <c r="D3" s="78"/>
      <c r="E3" s="78"/>
      <c r="F3" s="78"/>
      <c r="G3" s="78"/>
      <c r="H3" s="79"/>
    </row>
    <row r="4" spans="1:8" ht="39.75" customHeight="1">
      <c r="A4" s="80" t="s">
        <v>641</v>
      </c>
      <c r="B4" s="81" t="s">
        <v>123</v>
      </c>
      <c r="C4" s="81" t="str">
        <f>Annual_Summary!B$3</f>
        <v>Fiscal year 1 August 2026 - July 2027</v>
      </c>
      <c r="D4" s="81" t="str">
        <f>Annual_Summary!C$3</f>
        <v>Fiscal year 2 August 2027 - July 2028</v>
      </c>
      <c r="E4" s="81" t="str">
        <f>Annual_Summary!D$3</f>
        <v>Fiscal year 3 August 2028 - July 2029</v>
      </c>
      <c r="F4" s="81" t="str">
        <f>Annual_Summary!E$3</f>
        <v>Fiscal year 4 August 2029 - July 2030</v>
      </c>
      <c r="G4" s="81" t="str">
        <f>Annual_Summary!F$3</f>
        <v>Fiscal year 5 August 2030 - July 2031</v>
      </c>
      <c r="H4" s="82" t="s">
        <v>642</v>
      </c>
    </row>
    <row r="5" spans="1:8">
      <c r="A5" s="77"/>
      <c r="B5" s="78"/>
      <c r="C5" s="78"/>
      <c r="D5" s="78"/>
      <c r="E5" s="78"/>
      <c r="F5" s="78"/>
      <c r="G5" s="78"/>
      <c r="H5" s="79"/>
    </row>
    <row r="6" spans="1:8">
      <c r="A6" s="134" t="s">
        <v>745</v>
      </c>
      <c r="B6" s="129"/>
      <c r="C6" s="129"/>
      <c r="D6" s="129"/>
      <c r="E6" s="129"/>
      <c r="F6" s="129"/>
      <c r="G6" s="129"/>
      <c r="H6" s="129"/>
    </row>
    <row r="7" spans="1:8">
      <c r="A7" s="77" t="s">
        <v>364</v>
      </c>
      <c r="B7" s="78" t="s">
        <v>207</v>
      </c>
      <c r="C7" s="88">
        <f>FS_Income_Statement!C28</f>
        <v>-10.940743749999999</v>
      </c>
      <c r="D7" s="88">
        <f>FS_Income_Statement!D28</f>
        <v>-11.410718764444445</v>
      </c>
      <c r="E7" s="88">
        <f>FS_Income_Statement!E28</f>
        <v>-7.9287000040740834</v>
      </c>
      <c r="F7" s="88">
        <f>FS_Income_Statement!F28</f>
        <v>-2.9120755555555577</v>
      </c>
      <c r="G7" s="88">
        <f>FS_Income_Statement!G28</f>
        <v>3.2217693804888921</v>
      </c>
      <c r="H7" s="79" t="s">
        <v>746</v>
      </c>
    </row>
    <row r="8" spans="1:8">
      <c r="A8" s="77" t="s">
        <v>747</v>
      </c>
      <c r="B8" s="78" t="s">
        <v>207</v>
      </c>
      <c r="C8" s="88">
        <f>-FS_Income_Statement!C24</f>
        <v>3.6724999999999999</v>
      </c>
      <c r="D8" s="88">
        <f>-FS_Income_Statement!D24</f>
        <v>8.4411666666666711</v>
      </c>
      <c r="E8" s="88">
        <f>-FS_Income_Statement!E24</f>
        <v>10.95883333333334</v>
      </c>
      <c r="F8" s="88">
        <f>-FS_Income_Statement!F24</f>
        <v>12.940000000000001</v>
      </c>
      <c r="G8" s="88">
        <f>-FS_Income_Statement!G24</f>
        <v>14.859999999999994</v>
      </c>
      <c r="H8" s="79" t="s">
        <v>748</v>
      </c>
    </row>
    <row r="9" spans="1:8" ht="27" customHeight="1">
      <c r="A9" s="77" t="s">
        <v>749</v>
      </c>
      <c r="B9" s="78" t="s">
        <v>207</v>
      </c>
      <c r="C9" s="88">
        <f>ECL_Module!C26</f>
        <v>0</v>
      </c>
      <c r="D9" s="88">
        <f>ECL_Module!D26</f>
        <v>0.19219031999999997</v>
      </c>
      <c r="E9" s="88">
        <f>ECL_Module!E26</f>
        <v>0.80194968000000011</v>
      </c>
      <c r="F9" s="88">
        <f>ECL_Module!F26</f>
        <v>1.6400300000000001</v>
      </c>
      <c r="G9" s="88">
        <f>ECL_Module!G26</f>
        <v>2.3826003040000008</v>
      </c>
      <c r="H9" s="79" t="s">
        <v>750</v>
      </c>
    </row>
    <row r="10" spans="1:8" ht="28.5">
      <c r="A10" s="77" t="s">
        <v>751</v>
      </c>
      <c r="B10" s="78" t="s">
        <v>207</v>
      </c>
      <c r="C10" s="88">
        <f>Annual_Summary!B$10</f>
        <v>48</v>
      </c>
      <c r="D10" s="88">
        <f>Annual_Summary!C$10-Annual_Summary!B$10</f>
        <v>37.5</v>
      </c>
      <c r="E10" s="88">
        <f>Annual_Summary!D$10-Annual_Summary!C$10</f>
        <v>54.5</v>
      </c>
      <c r="F10" s="88">
        <f>Annual_Summary!E$10-Annual_Summary!D$10</f>
        <v>80</v>
      </c>
      <c r="G10" s="88">
        <f>Annual_Summary!F$10-Annual_Summary!E$10</f>
        <v>92</v>
      </c>
      <c r="H10" s="79" t="s">
        <v>752</v>
      </c>
    </row>
    <row r="11" spans="1:8" ht="27" customHeight="1">
      <c r="A11" s="77" t="s">
        <v>753</v>
      </c>
      <c r="B11" s="78" t="s">
        <v>207</v>
      </c>
      <c r="C11" s="88">
        <f>-(Annual_Summary!B$11)</f>
        <v>0</v>
      </c>
      <c r="D11" s="88">
        <f>-(Annual_Summary!C$11-Annual_Summary!B$11)</f>
        <v>-10.26</v>
      </c>
      <c r="E11" s="88">
        <f>-(Annual_Summary!D$11-Annual_Summary!C$11)</f>
        <v>-24.740000000000002</v>
      </c>
      <c r="F11" s="88">
        <f>-(Annual_Summary!E$11-Annual_Summary!D$11)</f>
        <v>-42</v>
      </c>
      <c r="G11" s="88">
        <f>-(Annual_Summary!F$11-Annual_Summary!E$11)</f>
        <v>-47.800000000000011</v>
      </c>
      <c r="H11" s="79" t="s">
        <v>754</v>
      </c>
    </row>
    <row r="12" spans="1:8" ht="15">
      <c r="A12" s="84" t="s">
        <v>755</v>
      </c>
      <c r="B12" s="85" t="s">
        <v>207</v>
      </c>
      <c r="C12" s="104">
        <f>SUM(C7:C11)</f>
        <v>40.731756250000004</v>
      </c>
      <c r="D12" s="104">
        <f>SUM(D7:D11)</f>
        <v>24.462638222222232</v>
      </c>
      <c r="E12" s="104">
        <f>SUM(E7:E11)</f>
        <v>33.592083009259255</v>
      </c>
      <c r="F12" s="104">
        <f>SUM(F7:F11)</f>
        <v>49.667954444444447</v>
      </c>
      <c r="G12" s="104">
        <f>SUM(G7:G11)</f>
        <v>64.664369684488875</v>
      </c>
      <c r="H12" s="87" t="s">
        <v>756</v>
      </c>
    </row>
    <row r="13" spans="1:8">
      <c r="A13" s="77"/>
      <c r="B13" s="78"/>
      <c r="C13" s="88"/>
      <c r="D13" s="88"/>
      <c r="E13" s="88"/>
      <c r="F13" s="88"/>
      <c r="G13" s="88"/>
      <c r="H13" s="79"/>
    </row>
    <row r="14" spans="1:8">
      <c r="A14" s="77"/>
      <c r="B14" s="78"/>
      <c r="C14" s="88"/>
      <c r="D14" s="88"/>
      <c r="E14" s="88"/>
      <c r="F14" s="88"/>
      <c r="G14" s="88"/>
      <c r="H14" s="79"/>
    </row>
    <row r="15" spans="1:8">
      <c r="A15" s="134" t="s">
        <v>757</v>
      </c>
      <c r="B15" s="129"/>
      <c r="C15" s="129"/>
      <c r="D15" s="129"/>
      <c r="E15" s="129"/>
      <c r="F15" s="129"/>
      <c r="G15" s="129"/>
      <c r="H15" s="129"/>
    </row>
    <row r="16" spans="1:8" ht="28.5">
      <c r="A16" s="77" t="s">
        <v>758</v>
      </c>
      <c r="B16" s="78" t="s">
        <v>207</v>
      </c>
      <c r="C16" s="88">
        <f>-Annual_Summary!B$27</f>
        <v>-33.9</v>
      </c>
      <c r="D16" s="88">
        <f>-Annual_Summary!C$27</f>
        <v>-15.299999999999997</v>
      </c>
      <c r="E16" s="88">
        <f>-Annual_Summary!D$27</f>
        <v>-10.3</v>
      </c>
      <c r="F16" s="88">
        <f>-Annual_Summary!E$27</f>
        <v>-9.6</v>
      </c>
      <c r="G16" s="88">
        <f>-Annual_Summary!F$27</f>
        <v>-9.6</v>
      </c>
      <c r="H16" s="79" t="s">
        <v>759</v>
      </c>
    </row>
    <row r="17" spans="1:8" ht="15">
      <c r="A17" s="84" t="s">
        <v>760</v>
      </c>
      <c r="B17" s="85" t="s">
        <v>207</v>
      </c>
      <c r="C17" s="104">
        <f>C16</f>
        <v>-33.9</v>
      </c>
      <c r="D17" s="104">
        <f>D16</f>
        <v>-15.299999999999997</v>
      </c>
      <c r="E17" s="104">
        <f>E16</f>
        <v>-10.3</v>
      </c>
      <c r="F17" s="104">
        <f>F16</f>
        <v>-9.6</v>
      </c>
      <c r="G17" s="104">
        <f>G16</f>
        <v>-9.6</v>
      </c>
      <c r="H17" s="87" t="s">
        <v>756</v>
      </c>
    </row>
    <row r="18" spans="1:8">
      <c r="A18" s="77"/>
      <c r="B18" s="78"/>
      <c r="C18" s="88"/>
      <c r="D18" s="88"/>
      <c r="E18" s="88"/>
      <c r="F18" s="88"/>
      <c r="G18" s="88"/>
      <c r="H18" s="79"/>
    </row>
    <row r="19" spans="1:8">
      <c r="A19" s="77"/>
      <c r="B19" s="78"/>
      <c r="C19" s="88"/>
      <c r="D19" s="88"/>
      <c r="E19" s="88"/>
      <c r="F19" s="88"/>
      <c r="G19" s="88"/>
      <c r="H19" s="79"/>
    </row>
    <row r="20" spans="1:8">
      <c r="A20" s="134" t="s">
        <v>761</v>
      </c>
      <c r="B20" s="129"/>
      <c r="C20" s="129"/>
      <c r="D20" s="129"/>
      <c r="E20" s="129"/>
      <c r="F20" s="129"/>
      <c r="G20" s="129"/>
      <c r="H20" s="129"/>
    </row>
    <row r="21" spans="1:8">
      <c r="A21" s="77" t="s">
        <v>762</v>
      </c>
      <c r="B21" s="78" t="s">
        <v>207</v>
      </c>
      <c r="C21" s="88">
        <f>Annual_Summary!B$30</f>
        <v>30</v>
      </c>
      <c r="D21" s="88">
        <f>Annual_Summary!C$30-Annual_Summary!B$30</f>
        <v>35</v>
      </c>
      <c r="E21" s="88">
        <f>Annual_Summary!D$30-Annual_Summary!C$30</f>
        <v>35</v>
      </c>
      <c r="F21" s="88">
        <f>Annual_Summary!E$30-Annual_Summary!D$30</f>
        <v>0</v>
      </c>
      <c r="G21" s="88">
        <f>Annual_Summary!F$30-Annual_Summary!E$30</f>
        <v>0</v>
      </c>
      <c r="H21" s="79" t="s">
        <v>763</v>
      </c>
    </row>
    <row r="22" spans="1:8">
      <c r="A22" s="77" t="s">
        <v>764</v>
      </c>
      <c r="B22" s="78" t="s">
        <v>207</v>
      </c>
      <c r="C22" s="88">
        <f>0</f>
        <v>0</v>
      </c>
      <c r="D22" s="88">
        <f>0</f>
        <v>0</v>
      </c>
      <c r="E22" s="88">
        <f>0</f>
        <v>0</v>
      </c>
      <c r="F22" s="88">
        <f>0</f>
        <v>0</v>
      </c>
      <c r="G22" s="88">
        <f>0</f>
        <v>0</v>
      </c>
      <c r="H22" s="79" t="s">
        <v>765</v>
      </c>
    </row>
    <row r="23" spans="1:8" ht="15">
      <c r="A23" s="84" t="s">
        <v>766</v>
      </c>
      <c r="B23" s="85" t="s">
        <v>207</v>
      </c>
      <c r="C23" s="104">
        <f>SUM(C21:C22)</f>
        <v>30</v>
      </c>
      <c r="D23" s="104">
        <f>SUM(D21:D22)</f>
        <v>35</v>
      </c>
      <c r="E23" s="104">
        <f>SUM(E21:E22)</f>
        <v>35</v>
      </c>
      <c r="F23" s="104">
        <f>SUM(F21:F22)</f>
        <v>0</v>
      </c>
      <c r="G23" s="104">
        <f>SUM(G21:G22)</f>
        <v>0</v>
      </c>
      <c r="H23" s="87" t="s">
        <v>756</v>
      </c>
    </row>
    <row r="24" spans="1:8">
      <c r="A24" s="77"/>
      <c r="B24" s="78"/>
      <c r="C24" s="88"/>
      <c r="D24" s="88"/>
      <c r="E24" s="88"/>
      <c r="F24" s="88"/>
      <c r="G24" s="88"/>
      <c r="H24" s="79"/>
    </row>
    <row r="25" spans="1:8">
      <c r="A25" s="77"/>
      <c r="B25" s="78"/>
      <c r="C25" s="88"/>
      <c r="D25" s="88"/>
      <c r="E25" s="88"/>
      <c r="F25" s="88"/>
      <c r="G25" s="88"/>
      <c r="H25" s="79"/>
    </row>
    <row r="26" spans="1:8">
      <c r="A26" s="77"/>
      <c r="B26" s="78"/>
      <c r="C26" s="88"/>
      <c r="D26" s="88"/>
      <c r="E26" s="88"/>
      <c r="F26" s="88"/>
      <c r="G26" s="88"/>
      <c r="H26" s="79"/>
    </row>
    <row r="27" spans="1:8">
      <c r="A27" s="134" t="s">
        <v>767</v>
      </c>
      <c r="B27" s="129"/>
      <c r="C27" s="129"/>
      <c r="D27" s="129"/>
      <c r="E27" s="129"/>
      <c r="F27" s="129"/>
      <c r="G27" s="129"/>
      <c r="H27" s="129"/>
    </row>
    <row r="28" spans="1:8">
      <c r="A28" s="77"/>
      <c r="B28" s="78"/>
      <c r="C28" s="88"/>
      <c r="D28" s="88"/>
      <c r="E28" s="88"/>
      <c r="F28" s="88"/>
      <c r="G28" s="88"/>
      <c r="H28" s="79"/>
    </row>
    <row r="29" spans="1:8" ht="15">
      <c r="A29" s="84" t="s">
        <v>768</v>
      </c>
      <c r="B29" s="85" t="s">
        <v>207</v>
      </c>
      <c r="C29" s="104">
        <f>SUM(C12,C17,C23)</f>
        <v>36.831756250000005</v>
      </c>
      <c r="D29" s="104">
        <f>SUM(D12,D17,D23)</f>
        <v>44.162638222222235</v>
      </c>
      <c r="E29" s="104">
        <f>SUM(E12,E17,E23)</f>
        <v>58.292083009259258</v>
      </c>
      <c r="F29" s="104">
        <f>SUM(F12,F17,F23)</f>
        <v>40.067954444444446</v>
      </c>
      <c r="G29" s="104">
        <f>SUM(G12,G17,G23)</f>
        <v>55.064369684488874</v>
      </c>
      <c r="H29" s="87" t="s">
        <v>769</v>
      </c>
    </row>
    <row r="30" spans="1:8">
      <c r="A30" s="77" t="s">
        <v>770</v>
      </c>
      <c r="B30" s="78" t="s">
        <v>207</v>
      </c>
      <c r="C30" s="88">
        <v>0</v>
      </c>
      <c r="D30" s="88">
        <f>C31</f>
        <v>36.831756250000005</v>
      </c>
      <c r="E30" s="88">
        <f>D31</f>
        <v>80.99439447222224</v>
      </c>
      <c r="F30" s="88">
        <f>E31</f>
        <v>139.28647748148148</v>
      </c>
      <c r="G30" s="88">
        <f>F31</f>
        <v>179.35443192592592</v>
      </c>
      <c r="H30" s="79" t="s">
        <v>771</v>
      </c>
    </row>
    <row r="31" spans="1:8" ht="15">
      <c r="A31" s="84" t="s">
        <v>772</v>
      </c>
      <c r="B31" s="85" t="s">
        <v>207</v>
      </c>
      <c r="C31" s="104">
        <f>C30+C29</f>
        <v>36.831756250000005</v>
      </c>
      <c r="D31" s="104">
        <f>D30+D29</f>
        <v>80.99439447222224</v>
      </c>
      <c r="E31" s="104">
        <f>E30+E29</f>
        <v>139.28647748148148</v>
      </c>
      <c r="F31" s="104">
        <f>F30+F29</f>
        <v>179.35443192592592</v>
      </c>
      <c r="G31" s="104">
        <f>G30+G29</f>
        <v>234.41880161041479</v>
      </c>
      <c r="H31" s="87" t="s">
        <v>773</v>
      </c>
    </row>
    <row r="32" spans="1:8" ht="15">
      <c r="A32" s="105" t="s">
        <v>774</v>
      </c>
      <c r="B32" s="106" t="s">
        <v>207</v>
      </c>
      <c r="C32" s="107">
        <f>C31-FS_Balance_Sheet!C7</f>
        <v>0</v>
      </c>
      <c r="D32" s="107">
        <f>D31-FS_Balance_Sheet!D7</f>
        <v>0</v>
      </c>
      <c r="E32" s="107">
        <f>E31-FS_Balance_Sheet!E7</f>
        <v>0</v>
      </c>
      <c r="F32" s="107">
        <f>F31-FS_Balance_Sheet!F7</f>
        <v>0</v>
      </c>
      <c r="G32" s="107">
        <f>G31-FS_Balance_Sheet!G7</f>
        <v>0</v>
      </c>
      <c r="H32" s="108" t="s">
        <v>730</v>
      </c>
    </row>
    <row r="33" spans="1:8" ht="15">
      <c r="A33" s="84" t="s">
        <v>775</v>
      </c>
      <c r="B33" s="85" t="s">
        <v>207</v>
      </c>
      <c r="C33" s="104">
        <f>C31</f>
        <v>36.831756250000005</v>
      </c>
      <c r="D33" s="104">
        <f>D31</f>
        <v>80.99439447222224</v>
      </c>
      <c r="E33" s="104">
        <f>E31</f>
        <v>139.28647748148148</v>
      </c>
      <c r="F33" s="104">
        <f>F31</f>
        <v>179.35443192592592</v>
      </c>
      <c r="G33" s="104">
        <f>G31</f>
        <v>234.41880161041479</v>
      </c>
      <c r="H33" s="87" t="s">
        <v>776</v>
      </c>
    </row>
    <row r="34" spans="1:8" ht="15">
      <c r="A34" s="109"/>
      <c r="B34" s="110"/>
      <c r="C34" s="110"/>
      <c r="D34" s="110"/>
      <c r="E34" s="110"/>
      <c r="F34" s="110"/>
      <c r="G34" s="110"/>
      <c r="H34" s="111"/>
    </row>
    <row r="35" spans="1:8">
      <c r="A35" s="98"/>
      <c r="B35" s="99"/>
      <c r="C35" s="99"/>
      <c r="D35" s="99"/>
      <c r="E35" s="99"/>
      <c r="F35" s="99"/>
      <c r="G35" s="99"/>
      <c r="H35" s="100"/>
    </row>
    <row r="36" spans="1:8">
      <c r="A36" s="98"/>
      <c r="B36" s="99"/>
      <c r="C36" s="99"/>
      <c r="D36" s="99"/>
      <c r="E36" s="99"/>
      <c r="F36" s="99"/>
      <c r="G36" s="99"/>
      <c r="H36" s="100"/>
    </row>
    <row r="37" spans="1:8">
      <c r="A37" s="98"/>
      <c r="B37" s="99"/>
      <c r="C37" s="99"/>
      <c r="D37" s="99"/>
      <c r="E37" s="99"/>
      <c r="F37" s="99"/>
      <c r="G37" s="99"/>
      <c r="H37" s="100"/>
    </row>
    <row r="38" spans="1:8">
      <c r="A38" s="98"/>
      <c r="B38" s="99"/>
      <c r="C38" s="99"/>
      <c r="D38" s="99"/>
      <c r="E38" s="99"/>
      <c r="F38" s="99"/>
      <c r="G38" s="99"/>
      <c r="H38" s="100"/>
    </row>
    <row r="39" spans="1:8">
      <c r="A39" s="98"/>
      <c r="B39" s="99"/>
      <c r="C39" s="99"/>
      <c r="D39" s="99"/>
      <c r="E39" s="99"/>
      <c r="F39" s="99"/>
      <c r="G39" s="99"/>
      <c r="H39" s="100"/>
    </row>
    <row r="40" spans="1:8">
      <c r="A40" s="98"/>
      <c r="B40" s="99"/>
      <c r="C40" s="99"/>
      <c r="D40" s="99"/>
      <c r="E40" s="99"/>
      <c r="F40" s="99"/>
      <c r="G40" s="99"/>
      <c r="H40" s="100"/>
    </row>
    <row r="41" spans="1:8">
      <c r="A41" s="98"/>
      <c r="B41" s="99"/>
      <c r="C41" s="99"/>
      <c r="D41" s="99"/>
      <c r="E41" s="99"/>
      <c r="F41" s="99"/>
      <c r="G41" s="99"/>
      <c r="H41" s="100"/>
    </row>
    <row r="42" spans="1:8">
      <c r="A42" s="98"/>
      <c r="B42" s="99"/>
      <c r="C42" s="99"/>
      <c r="D42" s="99"/>
      <c r="E42" s="99"/>
      <c r="F42" s="99"/>
      <c r="G42" s="99"/>
      <c r="H42" s="100"/>
    </row>
    <row r="43" spans="1:8">
      <c r="A43" s="98"/>
      <c r="B43" s="99"/>
      <c r="C43" s="99"/>
      <c r="D43" s="99"/>
      <c r="E43" s="99"/>
      <c r="F43" s="99"/>
      <c r="G43" s="99"/>
      <c r="H43" s="100"/>
    </row>
    <row r="44" spans="1:8">
      <c r="A44" s="98"/>
      <c r="B44" s="99"/>
      <c r="C44" s="99"/>
      <c r="D44" s="99"/>
      <c r="E44" s="99"/>
      <c r="F44" s="99"/>
      <c r="G44" s="99"/>
      <c r="H44" s="100"/>
    </row>
    <row r="45" spans="1:8">
      <c r="A45" s="98"/>
      <c r="B45" s="99"/>
      <c r="C45" s="99"/>
      <c r="D45" s="99"/>
      <c r="E45" s="99"/>
      <c r="F45" s="99"/>
      <c r="G45" s="99"/>
      <c r="H45" s="100"/>
    </row>
    <row r="46" spans="1:8">
      <c r="A46" s="98"/>
      <c r="B46" s="99"/>
      <c r="C46" s="99"/>
      <c r="D46" s="99"/>
      <c r="E46" s="99"/>
      <c r="F46" s="99"/>
      <c r="G46" s="99"/>
      <c r="H46" s="100"/>
    </row>
    <row r="47" spans="1:8">
      <c r="A47" s="98"/>
      <c r="B47" s="99"/>
      <c r="C47" s="99"/>
      <c r="D47" s="99"/>
      <c r="E47" s="99"/>
      <c r="F47" s="99"/>
      <c r="G47" s="99"/>
      <c r="H47" s="100"/>
    </row>
    <row r="48" spans="1:8">
      <c r="A48" s="98"/>
      <c r="B48" s="99"/>
      <c r="C48" s="99"/>
      <c r="D48" s="99"/>
      <c r="E48" s="99"/>
      <c r="F48" s="99"/>
      <c r="G48" s="99"/>
      <c r="H48" s="100"/>
    </row>
    <row r="49" spans="1:8">
      <c r="A49" s="98"/>
      <c r="B49" s="99"/>
      <c r="C49" s="99"/>
      <c r="D49" s="99"/>
      <c r="E49" s="99"/>
      <c r="F49" s="99"/>
      <c r="G49" s="99"/>
      <c r="H49" s="100"/>
    </row>
    <row r="50" spans="1:8">
      <c r="A50" s="98"/>
      <c r="B50" s="99"/>
      <c r="C50" s="99"/>
      <c r="D50" s="99"/>
      <c r="E50" s="99"/>
      <c r="F50" s="99"/>
      <c r="G50" s="99"/>
      <c r="H50" s="100"/>
    </row>
    <row r="51" spans="1:8">
      <c r="A51" s="98"/>
      <c r="B51" s="99"/>
      <c r="C51" s="99"/>
      <c r="D51" s="99"/>
      <c r="E51" s="99"/>
      <c r="F51" s="99"/>
      <c r="G51" s="99"/>
      <c r="H51" s="100"/>
    </row>
    <row r="52" spans="1:8">
      <c r="A52" s="98"/>
      <c r="B52" s="99"/>
      <c r="C52" s="99"/>
      <c r="D52" s="99"/>
      <c r="E52" s="99"/>
      <c r="F52" s="99"/>
      <c r="G52" s="99"/>
      <c r="H52" s="100"/>
    </row>
    <row r="53" spans="1:8">
      <c r="A53" s="98"/>
      <c r="B53" s="99"/>
      <c r="C53" s="99"/>
      <c r="D53" s="99"/>
      <c r="E53" s="99"/>
      <c r="F53" s="99"/>
      <c r="G53" s="99"/>
      <c r="H53" s="100"/>
    </row>
    <row r="54" spans="1:8">
      <c r="A54" s="98"/>
      <c r="B54" s="99"/>
      <c r="C54" s="99"/>
      <c r="D54" s="99"/>
      <c r="E54" s="99"/>
      <c r="F54" s="99"/>
      <c r="G54" s="99"/>
      <c r="H54" s="100"/>
    </row>
    <row r="55" spans="1:8">
      <c r="A55" s="98"/>
      <c r="B55" s="99"/>
      <c r="C55" s="99"/>
      <c r="D55" s="99"/>
      <c r="E55" s="99"/>
      <c r="F55" s="99"/>
      <c r="G55" s="99"/>
      <c r="H55" s="100"/>
    </row>
    <row r="56" spans="1:8">
      <c r="A56" s="98"/>
      <c r="B56" s="99"/>
      <c r="C56" s="99"/>
      <c r="D56" s="99"/>
      <c r="E56" s="99"/>
      <c r="F56" s="99"/>
      <c r="G56" s="99"/>
      <c r="H56" s="100"/>
    </row>
    <row r="57" spans="1:8">
      <c r="A57" s="98"/>
      <c r="B57" s="99"/>
      <c r="C57" s="99"/>
      <c r="D57" s="99"/>
      <c r="E57" s="99"/>
      <c r="F57" s="99"/>
      <c r="G57" s="99"/>
      <c r="H57" s="100"/>
    </row>
    <row r="58" spans="1:8">
      <c r="A58" s="98"/>
      <c r="B58" s="99"/>
      <c r="C58" s="99"/>
      <c r="D58" s="99"/>
      <c r="E58" s="99"/>
      <c r="F58" s="99"/>
      <c r="G58" s="99"/>
      <c r="H58" s="100"/>
    </row>
    <row r="59" spans="1:8">
      <c r="A59" s="98"/>
      <c r="B59" s="99"/>
      <c r="C59" s="99"/>
      <c r="D59" s="99"/>
      <c r="E59" s="99"/>
      <c r="F59" s="99"/>
      <c r="G59" s="99"/>
      <c r="H59" s="100"/>
    </row>
    <row r="60" spans="1:8">
      <c r="A60" s="98"/>
      <c r="B60" s="99"/>
      <c r="C60" s="99"/>
      <c r="D60" s="99"/>
      <c r="E60" s="99"/>
      <c r="F60" s="99"/>
      <c r="G60" s="99"/>
      <c r="H60" s="100"/>
    </row>
    <row r="61" spans="1:8">
      <c r="A61" s="98"/>
      <c r="B61" s="99"/>
      <c r="C61" s="99"/>
      <c r="D61" s="99"/>
      <c r="E61" s="99"/>
      <c r="F61" s="99"/>
      <c r="G61" s="99"/>
      <c r="H61" s="100"/>
    </row>
    <row r="62" spans="1:8">
      <c r="A62" s="98"/>
      <c r="B62" s="99"/>
      <c r="C62" s="99"/>
      <c r="D62" s="99"/>
      <c r="E62" s="99"/>
      <c r="F62" s="99"/>
      <c r="G62" s="99"/>
      <c r="H62" s="100"/>
    </row>
    <row r="63" spans="1:8">
      <c r="A63" s="98"/>
      <c r="B63" s="99"/>
      <c r="C63" s="99"/>
      <c r="D63" s="99"/>
      <c r="E63" s="99"/>
      <c r="F63" s="99"/>
      <c r="G63" s="99"/>
      <c r="H63" s="100"/>
    </row>
    <row r="64" spans="1:8">
      <c r="A64" s="98"/>
      <c r="B64" s="99"/>
      <c r="C64" s="99"/>
      <c r="D64" s="99"/>
      <c r="E64" s="99"/>
      <c r="F64" s="99"/>
      <c r="G64" s="99"/>
      <c r="H64" s="100"/>
    </row>
    <row r="65" spans="1:8">
      <c r="A65" s="98"/>
      <c r="B65" s="99"/>
      <c r="C65" s="99"/>
      <c r="D65" s="99"/>
      <c r="E65" s="99"/>
      <c r="F65" s="99"/>
      <c r="G65" s="99"/>
      <c r="H65" s="100"/>
    </row>
    <row r="66" spans="1:8">
      <c r="A66" s="98"/>
      <c r="B66" s="99"/>
      <c r="C66" s="99"/>
      <c r="D66" s="99"/>
      <c r="E66" s="99"/>
      <c r="F66" s="99"/>
      <c r="G66" s="99"/>
      <c r="H66" s="100"/>
    </row>
    <row r="67" spans="1:8">
      <c r="A67" s="98"/>
      <c r="B67" s="99"/>
      <c r="C67" s="99"/>
      <c r="D67" s="99"/>
      <c r="E67" s="99"/>
      <c r="F67" s="99"/>
      <c r="G67" s="99"/>
      <c r="H67" s="100"/>
    </row>
    <row r="68" spans="1:8">
      <c r="A68" s="98"/>
      <c r="B68" s="99"/>
      <c r="C68" s="99"/>
      <c r="D68" s="99"/>
      <c r="E68" s="99"/>
      <c r="F68" s="99"/>
      <c r="G68" s="99"/>
      <c r="H68" s="100"/>
    </row>
    <row r="69" spans="1:8">
      <c r="A69" s="98"/>
      <c r="B69" s="99"/>
      <c r="C69" s="99"/>
      <c r="D69" s="99"/>
      <c r="E69" s="99"/>
      <c r="F69" s="99"/>
      <c r="G69" s="99"/>
      <c r="H69" s="100"/>
    </row>
    <row r="70" spans="1:8">
      <c r="A70" s="98"/>
      <c r="B70" s="99"/>
      <c r="C70" s="99"/>
      <c r="D70" s="99"/>
      <c r="E70" s="99"/>
      <c r="F70" s="99"/>
      <c r="G70" s="99"/>
      <c r="H70" s="100"/>
    </row>
    <row r="71" spans="1:8">
      <c r="A71" s="98"/>
      <c r="B71" s="99"/>
      <c r="C71" s="99"/>
      <c r="D71" s="99"/>
      <c r="E71" s="99"/>
      <c r="F71" s="99"/>
      <c r="G71" s="99"/>
      <c r="H71" s="100"/>
    </row>
    <row r="72" spans="1:8">
      <c r="A72" s="98"/>
      <c r="B72" s="99"/>
      <c r="C72" s="99"/>
      <c r="D72" s="99"/>
      <c r="E72" s="99"/>
      <c r="F72" s="99"/>
      <c r="G72" s="99"/>
      <c r="H72" s="100"/>
    </row>
    <row r="73" spans="1:8">
      <c r="A73" s="98"/>
      <c r="B73" s="99"/>
      <c r="C73" s="99"/>
      <c r="D73" s="99"/>
      <c r="E73" s="99"/>
      <c r="F73" s="99"/>
      <c r="G73" s="99"/>
      <c r="H73" s="100"/>
    </row>
    <row r="74" spans="1:8">
      <c r="A74" s="98"/>
      <c r="B74" s="99"/>
      <c r="C74" s="99"/>
      <c r="D74" s="99"/>
      <c r="E74" s="99"/>
      <c r="F74" s="99"/>
      <c r="G74" s="99"/>
      <c r="H74" s="100"/>
    </row>
    <row r="75" spans="1:8">
      <c r="A75" s="98"/>
      <c r="B75" s="99"/>
      <c r="C75" s="99"/>
      <c r="D75" s="99"/>
      <c r="E75" s="99"/>
      <c r="F75" s="99"/>
      <c r="G75" s="99"/>
      <c r="H75" s="100"/>
    </row>
    <row r="76" spans="1:8">
      <c r="A76" s="98"/>
      <c r="B76" s="99"/>
      <c r="C76" s="99"/>
      <c r="D76" s="99"/>
      <c r="E76" s="99"/>
      <c r="F76" s="99"/>
      <c r="G76" s="99"/>
      <c r="H76" s="100"/>
    </row>
    <row r="77" spans="1:8">
      <c r="A77" s="98"/>
      <c r="B77" s="99"/>
      <c r="C77" s="99"/>
      <c r="D77" s="99"/>
      <c r="E77" s="99"/>
      <c r="F77" s="99"/>
      <c r="G77" s="99"/>
      <c r="H77" s="100"/>
    </row>
    <row r="78" spans="1:8">
      <c r="A78" s="98"/>
      <c r="B78" s="99"/>
      <c r="C78" s="99"/>
      <c r="D78" s="99"/>
      <c r="E78" s="99"/>
      <c r="F78" s="99"/>
      <c r="G78" s="99"/>
      <c r="H78" s="100"/>
    </row>
    <row r="79" spans="1:8">
      <c r="A79" s="98"/>
      <c r="B79" s="99"/>
      <c r="C79" s="99"/>
      <c r="D79" s="99"/>
      <c r="E79" s="99"/>
      <c r="F79" s="99"/>
      <c r="G79" s="99"/>
      <c r="H79" s="100"/>
    </row>
    <row r="80" spans="1:8">
      <c r="A80" s="101"/>
      <c r="B80" s="102"/>
      <c r="C80" s="102"/>
      <c r="D80" s="102"/>
      <c r="E80" s="102"/>
      <c r="F80" s="102"/>
      <c r="G80" s="102"/>
      <c r="H80" s="103"/>
    </row>
  </sheetData>
  <mergeCells count="6">
    <mergeCell ref="A15:H15"/>
    <mergeCell ref="A20:H20"/>
    <mergeCell ref="A2:H2"/>
    <mergeCell ref="A1:H1"/>
    <mergeCell ref="A27:H27"/>
    <mergeCell ref="A6:H6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H80"/>
  <sheetViews>
    <sheetView workbookViewId="0">
      <selection activeCell="H35" sqref="H35"/>
    </sheetView>
  </sheetViews>
  <sheetFormatPr defaultColWidth="8.875" defaultRowHeight="14.25"/>
  <cols>
    <col min="1" max="1" width="36" style="1" customWidth="1"/>
    <col min="2" max="7" width="14" style="1" customWidth="1"/>
    <col min="8" max="8" width="48" style="1" customWidth="1"/>
    <col min="9" max="16384" width="8.875" style="1"/>
  </cols>
  <sheetData>
    <row r="1" spans="1:8" ht="24" customHeight="1">
      <c r="A1" s="136" t="s">
        <v>777</v>
      </c>
      <c r="B1" s="129"/>
      <c r="C1" s="129"/>
      <c r="D1" s="129"/>
      <c r="E1" s="129"/>
      <c r="F1" s="129"/>
      <c r="G1" s="129"/>
      <c r="H1" s="129"/>
    </row>
    <row r="2" spans="1:8" ht="33.950000000000003" customHeight="1">
      <c r="A2" s="135" t="s">
        <v>778</v>
      </c>
      <c r="B2" s="129"/>
      <c r="C2" s="129"/>
      <c r="D2" s="129"/>
      <c r="E2" s="129"/>
      <c r="F2" s="129"/>
      <c r="G2" s="129"/>
      <c r="H2" s="129"/>
    </row>
    <row r="3" spans="1:8">
      <c r="A3" s="77"/>
      <c r="B3" s="78"/>
      <c r="C3" s="78"/>
      <c r="D3" s="78"/>
      <c r="E3" s="78"/>
      <c r="F3" s="78"/>
      <c r="G3" s="78"/>
      <c r="H3" s="79"/>
    </row>
    <row r="4" spans="1:8" ht="39.75" customHeight="1">
      <c r="A4" s="80" t="s">
        <v>641</v>
      </c>
      <c r="B4" s="81" t="s">
        <v>123</v>
      </c>
      <c r="C4" s="81" t="str">
        <f>Annual_Summary!B$3</f>
        <v>Fiscal year 1 August 2026 - July 2027</v>
      </c>
      <c r="D4" s="81" t="str">
        <f>Annual_Summary!C$3</f>
        <v>Fiscal year 2 August 2027 - July 2028</v>
      </c>
      <c r="E4" s="81" t="str">
        <f>Annual_Summary!D$3</f>
        <v>Fiscal year 3 August 2028 - July 2029</v>
      </c>
      <c r="F4" s="81" t="str">
        <f>Annual_Summary!E$3</f>
        <v>Fiscal year 4 August 2029 - July 2030</v>
      </c>
      <c r="G4" s="81" t="str">
        <f>Annual_Summary!F$3</f>
        <v>Fiscal year 5 August 2030 - July 2031</v>
      </c>
      <c r="H4" s="82" t="s">
        <v>642</v>
      </c>
    </row>
    <row r="5" spans="1:8">
      <c r="A5" s="77"/>
      <c r="B5" s="78"/>
      <c r="C5" s="78"/>
      <c r="D5" s="78"/>
      <c r="E5" s="78"/>
      <c r="F5" s="78"/>
      <c r="G5" s="78"/>
      <c r="H5" s="79"/>
    </row>
    <row r="6" spans="1:8">
      <c r="A6" s="134" t="s">
        <v>722</v>
      </c>
      <c r="B6" s="129"/>
      <c r="C6" s="129"/>
      <c r="D6" s="129"/>
      <c r="E6" s="129"/>
      <c r="F6" s="129"/>
      <c r="G6" s="129"/>
      <c r="H6" s="129"/>
    </row>
    <row r="7" spans="1:8">
      <c r="A7" s="77" t="s">
        <v>779</v>
      </c>
      <c r="B7" s="78" t="s">
        <v>207</v>
      </c>
      <c r="C7" s="88">
        <f>0</f>
        <v>0</v>
      </c>
      <c r="D7" s="88">
        <f>C9</f>
        <v>30</v>
      </c>
      <c r="E7" s="88">
        <f>D9</f>
        <v>65</v>
      </c>
      <c r="F7" s="88">
        <f>E9</f>
        <v>100</v>
      </c>
      <c r="G7" s="88">
        <f>F9</f>
        <v>100</v>
      </c>
      <c r="H7" s="79" t="s">
        <v>780</v>
      </c>
    </row>
    <row r="8" spans="1:8">
      <c r="A8" s="77" t="s">
        <v>781</v>
      </c>
      <c r="B8" s="78" t="s">
        <v>207</v>
      </c>
      <c r="C8" s="88">
        <f>Annual_Summary!B$30</f>
        <v>30</v>
      </c>
      <c r="D8" s="88">
        <f>Annual_Summary!C$30-Annual_Summary!B$30</f>
        <v>35</v>
      </c>
      <c r="E8" s="88">
        <f>Annual_Summary!D$30-Annual_Summary!C$30</f>
        <v>35</v>
      </c>
      <c r="F8" s="88">
        <f>Annual_Summary!E$30-Annual_Summary!D$30</f>
        <v>0</v>
      </c>
      <c r="G8" s="88">
        <f>Annual_Summary!F$30-Annual_Summary!E$30</f>
        <v>0</v>
      </c>
      <c r="H8" s="79" t="s">
        <v>763</v>
      </c>
    </row>
    <row r="9" spans="1:8">
      <c r="A9" s="77" t="s">
        <v>782</v>
      </c>
      <c r="B9" s="78" t="s">
        <v>207</v>
      </c>
      <c r="C9" s="88">
        <f>Annual_Summary!B$30</f>
        <v>30</v>
      </c>
      <c r="D9" s="88">
        <f>Annual_Summary!C$30</f>
        <v>65</v>
      </c>
      <c r="E9" s="88">
        <f>Annual_Summary!D$30</f>
        <v>100</v>
      </c>
      <c r="F9" s="88">
        <f>Annual_Summary!E$30</f>
        <v>100</v>
      </c>
      <c r="G9" s="88">
        <f>Annual_Summary!F$30</f>
        <v>100</v>
      </c>
      <c r="H9" s="79" t="s">
        <v>783</v>
      </c>
    </row>
    <row r="10" spans="1:8" ht="15">
      <c r="A10" s="84"/>
      <c r="B10" s="85"/>
      <c r="C10" s="104"/>
      <c r="D10" s="104"/>
      <c r="E10" s="104"/>
      <c r="F10" s="104"/>
      <c r="G10" s="104"/>
      <c r="H10" s="87"/>
    </row>
    <row r="11" spans="1:8">
      <c r="A11" s="77"/>
      <c r="B11" s="78"/>
      <c r="C11" s="88"/>
      <c r="D11" s="88"/>
      <c r="E11" s="88"/>
      <c r="F11" s="88"/>
      <c r="G11" s="88"/>
      <c r="H11" s="79"/>
    </row>
    <row r="12" spans="1:8">
      <c r="A12" s="77"/>
      <c r="B12" s="78"/>
      <c r="C12" s="88"/>
      <c r="D12" s="88"/>
      <c r="E12" s="88"/>
      <c r="F12" s="88"/>
      <c r="G12" s="88"/>
      <c r="H12" s="79"/>
    </row>
    <row r="13" spans="1:8">
      <c r="A13" s="134" t="s">
        <v>724</v>
      </c>
      <c r="B13" s="129"/>
      <c r="C13" s="129"/>
      <c r="D13" s="129"/>
      <c r="E13" s="129"/>
      <c r="F13" s="129"/>
      <c r="G13" s="129"/>
      <c r="H13" s="129"/>
    </row>
    <row r="14" spans="1:8" ht="28.5">
      <c r="A14" s="77" t="s">
        <v>784</v>
      </c>
      <c r="B14" s="78" t="s">
        <v>207</v>
      </c>
      <c r="C14" s="88">
        <v>0</v>
      </c>
      <c r="D14" s="88">
        <f>C17</f>
        <v>-10.940743749999999</v>
      </c>
      <c r="E14" s="88">
        <f>D17</f>
        <v>-22.351462514444442</v>
      </c>
      <c r="F14" s="88">
        <f>E17</f>
        <v>-30.280162518518527</v>
      </c>
      <c r="G14" s="88">
        <f>F17</f>
        <v>-33.192238074074083</v>
      </c>
      <c r="H14" s="79" t="s">
        <v>785</v>
      </c>
    </row>
    <row r="15" spans="1:8">
      <c r="A15" s="77" t="s">
        <v>786</v>
      </c>
      <c r="B15" s="78" t="s">
        <v>207</v>
      </c>
      <c r="C15" s="88">
        <f>FS_Income_Statement!C28</f>
        <v>-10.940743749999999</v>
      </c>
      <c r="D15" s="88">
        <f>FS_Income_Statement!D28</f>
        <v>-11.410718764444445</v>
      </c>
      <c r="E15" s="88">
        <f>FS_Income_Statement!E28</f>
        <v>-7.9287000040740834</v>
      </c>
      <c r="F15" s="88">
        <f>FS_Income_Statement!F28</f>
        <v>-2.9120755555555577</v>
      </c>
      <c r="G15" s="88">
        <f>FS_Income_Statement!G28</f>
        <v>3.2217693804888921</v>
      </c>
      <c r="H15" s="79" t="s">
        <v>787</v>
      </c>
    </row>
    <row r="16" spans="1:8">
      <c r="A16" s="77" t="s">
        <v>788</v>
      </c>
      <c r="B16" s="78" t="s">
        <v>207</v>
      </c>
      <c r="C16" s="88">
        <f>0</f>
        <v>0</v>
      </c>
      <c r="D16" s="88">
        <f>0</f>
        <v>0</v>
      </c>
      <c r="E16" s="88">
        <f>0</f>
        <v>0</v>
      </c>
      <c r="F16" s="88">
        <f>0</f>
        <v>0</v>
      </c>
      <c r="G16" s="88">
        <f>0</f>
        <v>0</v>
      </c>
      <c r="H16" s="79" t="s">
        <v>789</v>
      </c>
    </row>
    <row r="17" spans="1:8" ht="28.5">
      <c r="A17" s="77" t="s">
        <v>790</v>
      </c>
      <c r="B17" s="78" t="s">
        <v>207</v>
      </c>
      <c r="C17" s="88">
        <f>C14+C15+C16</f>
        <v>-10.940743749999999</v>
      </c>
      <c r="D17" s="88">
        <f>D14+D15+D16</f>
        <v>-22.351462514444442</v>
      </c>
      <c r="E17" s="88">
        <f>E14+E15+E16</f>
        <v>-30.280162518518527</v>
      </c>
      <c r="F17" s="88">
        <f>F14+F15+F16</f>
        <v>-33.192238074074083</v>
      </c>
      <c r="G17" s="88">
        <f>G14+G15+G16</f>
        <v>-29.97046869358519</v>
      </c>
      <c r="H17" s="79" t="s">
        <v>791</v>
      </c>
    </row>
    <row r="18" spans="1:8" ht="15">
      <c r="A18" s="84"/>
      <c r="B18" s="85"/>
      <c r="C18" s="104"/>
      <c r="D18" s="104"/>
      <c r="E18" s="104"/>
      <c r="F18" s="104"/>
      <c r="G18" s="104"/>
      <c r="H18" s="87"/>
    </row>
    <row r="19" spans="1:8">
      <c r="A19" s="77"/>
      <c r="B19" s="78"/>
      <c r="C19" s="88"/>
      <c r="D19" s="88"/>
      <c r="E19" s="88"/>
      <c r="F19" s="88"/>
      <c r="G19" s="88"/>
      <c r="H19" s="79"/>
    </row>
    <row r="20" spans="1:8">
      <c r="A20" s="77"/>
      <c r="B20" s="78"/>
      <c r="C20" s="88"/>
      <c r="D20" s="88"/>
      <c r="E20" s="88"/>
      <c r="F20" s="88"/>
      <c r="G20" s="88"/>
      <c r="H20" s="79"/>
    </row>
    <row r="21" spans="1:8">
      <c r="A21" s="77"/>
      <c r="B21" s="78"/>
      <c r="C21" s="88"/>
      <c r="D21" s="88"/>
      <c r="E21" s="88"/>
      <c r="F21" s="88"/>
      <c r="G21" s="88"/>
      <c r="H21" s="79"/>
    </row>
    <row r="22" spans="1:8">
      <c r="A22" s="134" t="s">
        <v>726</v>
      </c>
      <c r="B22" s="129"/>
      <c r="C22" s="129"/>
      <c r="D22" s="129"/>
      <c r="E22" s="129"/>
      <c r="F22" s="129"/>
      <c r="G22" s="129"/>
      <c r="H22" s="129"/>
    </row>
    <row r="23" spans="1:8">
      <c r="A23" s="77" t="s">
        <v>726</v>
      </c>
      <c r="B23" s="78" t="s">
        <v>207</v>
      </c>
      <c r="C23" s="88">
        <f>FS_Balance_Sheet!C26</f>
        <v>19.059256250000001</v>
      </c>
      <c r="D23" s="88">
        <f>FS_Balance_Sheet!D26</f>
        <v>42.648537485555558</v>
      </c>
      <c r="E23" s="88">
        <f>FS_Balance_Sheet!E26</f>
        <v>69.719837481481477</v>
      </c>
      <c r="F23" s="88">
        <f>FS_Balance_Sheet!F26</f>
        <v>66.807761925925917</v>
      </c>
      <c r="G23" s="88">
        <f>FS_Balance_Sheet!G26</f>
        <v>70.02953130641481</v>
      </c>
      <c r="H23" s="79" t="s">
        <v>727</v>
      </c>
    </row>
    <row r="24" spans="1:8" ht="27" customHeight="1">
      <c r="A24" s="84" t="s">
        <v>792</v>
      </c>
      <c r="B24" s="85" t="s">
        <v>207</v>
      </c>
      <c r="C24" s="104">
        <f>C23</f>
        <v>19.059256250000001</v>
      </c>
      <c r="D24" s="104">
        <f>D23</f>
        <v>42.648537485555558</v>
      </c>
      <c r="E24" s="104">
        <f>E23</f>
        <v>69.719837481481477</v>
      </c>
      <c r="F24" s="104">
        <f>F23</f>
        <v>66.807761925925917</v>
      </c>
      <c r="G24" s="104">
        <f>G23</f>
        <v>70.02953130641481</v>
      </c>
      <c r="H24" s="87" t="s">
        <v>793</v>
      </c>
    </row>
    <row r="25" spans="1:8">
      <c r="A25" s="77" t="s">
        <v>732</v>
      </c>
      <c r="B25" s="78" t="s">
        <v>207</v>
      </c>
      <c r="C25" s="88">
        <f>Annual_Summary!B35</f>
        <v>31.916139999999999</v>
      </c>
      <c r="D25" s="88">
        <f>Annual_Summary!C35</f>
        <v>46.72084833333335</v>
      </c>
      <c r="E25" s="88">
        <f>Annual_Summary!D35</f>
        <v>64.944450000000003</v>
      </c>
      <c r="F25" s="88">
        <f>Annual_Summary!E35</f>
        <v>93.487099999999984</v>
      </c>
      <c r="G25" s="88">
        <f>Annual_Summary!F35</f>
        <v>124.45515999999998</v>
      </c>
      <c r="H25" s="79" t="s">
        <v>794</v>
      </c>
    </row>
    <row r="26" spans="1:8">
      <c r="A26" s="77" t="s">
        <v>318</v>
      </c>
      <c r="B26" s="78" t="s">
        <v>137</v>
      </c>
      <c r="C26" s="97">
        <f>IFERROR(C24/C25,0)</f>
        <v>0.59716670781617076</v>
      </c>
      <c r="D26" s="97">
        <f>IFERROR(D24/D25,0)</f>
        <v>0.9128373950163835</v>
      </c>
      <c r="E26" s="97">
        <f>IFERROR(E24/E25,0)</f>
        <v>1.0735303398747926</v>
      </c>
      <c r="F26" s="97">
        <f>IFERROR(F24/F25,0)</f>
        <v>0.71462011257088864</v>
      </c>
      <c r="G26" s="97">
        <f>IFERROR(G24/G25,0)</f>
        <v>0.56268885361133136</v>
      </c>
      <c r="H26" s="79" t="s">
        <v>795</v>
      </c>
    </row>
    <row r="27" spans="1:8" ht="15">
      <c r="A27" s="105" t="s">
        <v>796</v>
      </c>
      <c r="B27" s="106" t="s">
        <v>207</v>
      </c>
      <c r="C27" s="107">
        <f>C23-FS_Balance_Sheet!C26</f>
        <v>0</v>
      </c>
      <c r="D27" s="107">
        <f>D23-FS_Balance_Sheet!D26</f>
        <v>0</v>
      </c>
      <c r="E27" s="107">
        <f>E23-FS_Balance_Sheet!E26</f>
        <v>0</v>
      </c>
      <c r="F27" s="107">
        <f>F23-FS_Balance_Sheet!F26</f>
        <v>0</v>
      </c>
      <c r="G27" s="107">
        <f>G23-FS_Balance_Sheet!G26</f>
        <v>0</v>
      </c>
      <c r="H27" s="108" t="s">
        <v>730</v>
      </c>
    </row>
    <row r="28" spans="1:8">
      <c r="A28" s="98"/>
      <c r="B28" s="99"/>
      <c r="C28" s="99"/>
      <c r="D28" s="99"/>
      <c r="E28" s="99"/>
      <c r="F28" s="99"/>
      <c r="G28" s="99"/>
      <c r="H28" s="100"/>
    </row>
    <row r="29" spans="1:8">
      <c r="A29" s="98"/>
      <c r="B29" s="99"/>
      <c r="C29" s="99"/>
      <c r="D29" s="99"/>
      <c r="E29" s="99"/>
      <c r="F29" s="99"/>
      <c r="G29" s="99"/>
      <c r="H29" s="100"/>
    </row>
    <row r="30" spans="1:8">
      <c r="A30" s="98"/>
      <c r="B30" s="99"/>
      <c r="C30" s="99"/>
      <c r="D30" s="99"/>
      <c r="E30" s="99"/>
      <c r="F30" s="99"/>
      <c r="G30" s="99"/>
      <c r="H30" s="100"/>
    </row>
    <row r="31" spans="1:8">
      <c r="A31" s="98"/>
      <c r="B31" s="99"/>
      <c r="C31" s="99"/>
      <c r="D31" s="99"/>
      <c r="E31" s="99"/>
      <c r="F31" s="99"/>
      <c r="G31" s="99"/>
      <c r="H31" s="100"/>
    </row>
    <row r="32" spans="1:8">
      <c r="A32" s="98"/>
      <c r="B32" s="99"/>
      <c r="C32" s="99"/>
      <c r="D32" s="99"/>
      <c r="E32" s="99"/>
      <c r="F32" s="99"/>
      <c r="G32" s="99"/>
      <c r="H32" s="100"/>
    </row>
    <row r="33" spans="1:8">
      <c r="A33" s="98"/>
      <c r="B33" s="99"/>
      <c r="C33" s="99"/>
      <c r="D33" s="99"/>
      <c r="E33" s="99"/>
      <c r="F33" s="99"/>
      <c r="G33" s="99"/>
      <c r="H33" s="100"/>
    </row>
    <row r="34" spans="1:8">
      <c r="A34" s="98"/>
      <c r="B34" s="99"/>
      <c r="C34" s="99"/>
      <c r="D34" s="99"/>
      <c r="E34" s="99"/>
      <c r="F34" s="99"/>
      <c r="G34" s="99"/>
      <c r="H34" s="100"/>
    </row>
    <row r="35" spans="1:8">
      <c r="A35" s="98"/>
      <c r="B35" s="99"/>
      <c r="C35" s="99"/>
      <c r="D35" s="99"/>
      <c r="E35" s="99"/>
      <c r="F35" s="99"/>
      <c r="G35" s="99"/>
      <c r="H35" s="100"/>
    </row>
    <row r="36" spans="1:8">
      <c r="A36" s="98"/>
      <c r="B36" s="99"/>
      <c r="C36" s="99"/>
      <c r="D36" s="99"/>
      <c r="E36" s="99"/>
      <c r="F36" s="99"/>
      <c r="G36" s="99"/>
      <c r="H36" s="100"/>
    </row>
    <row r="37" spans="1:8">
      <c r="A37" s="98"/>
      <c r="B37" s="99"/>
      <c r="C37" s="99"/>
      <c r="D37" s="99"/>
      <c r="E37" s="99"/>
      <c r="F37" s="99"/>
      <c r="G37" s="99"/>
      <c r="H37" s="100"/>
    </row>
    <row r="38" spans="1:8">
      <c r="A38" s="98"/>
      <c r="B38" s="99"/>
      <c r="C38" s="99"/>
      <c r="D38" s="99"/>
      <c r="E38" s="99"/>
      <c r="F38" s="99"/>
      <c r="G38" s="99"/>
      <c r="H38" s="100"/>
    </row>
    <row r="39" spans="1:8">
      <c r="A39" s="98"/>
      <c r="B39" s="99"/>
      <c r="C39" s="99"/>
      <c r="D39" s="99"/>
      <c r="E39" s="99"/>
      <c r="F39" s="99"/>
      <c r="G39" s="99"/>
      <c r="H39" s="100"/>
    </row>
    <row r="40" spans="1:8">
      <c r="A40" s="98"/>
      <c r="B40" s="99"/>
      <c r="C40" s="99"/>
      <c r="D40" s="99"/>
      <c r="E40" s="99"/>
      <c r="F40" s="99"/>
      <c r="G40" s="99"/>
      <c r="H40" s="100"/>
    </row>
    <row r="41" spans="1:8">
      <c r="A41" s="98"/>
      <c r="B41" s="99"/>
      <c r="C41" s="99"/>
      <c r="D41" s="99"/>
      <c r="E41" s="99"/>
      <c r="F41" s="99"/>
      <c r="G41" s="99"/>
      <c r="H41" s="100"/>
    </row>
    <row r="42" spans="1:8">
      <c r="A42" s="98"/>
      <c r="B42" s="99"/>
      <c r="C42" s="99"/>
      <c r="D42" s="99"/>
      <c r="E42" s="99"/>
      <c r="F42" s="99"/>
      <c r="G42" s="99"/>
      <c r="H42" s="100"/>
    </row>
    <row r="43" spans="1:8">
      <c r="A43" s="98"/>
      <c r="B43" s="99"/>
      <c r="C43" s="99"/>
      <c r="D43" s="99"/>
      <c r="E43" s="99"/>
      <c r="F43" s="99"/>
      <c r="G43" s="99"/>
      <c r="H43" s="100"/>
    </row>
    <row r="44" spans="1:8">
      <c r="A44" s="98"/>
      <c r="B44" s="99"/>
      <c r="C44" s="99"/>
      <c r="D44" s="99"/>
      <c r="E44" s="99"/>
      <c r="F44" s="99"/>
      <c r="G44" s="99"/>
      <c r="H44" s="100"/>
    </row>
    <row r="45" spans="1:8">
      <c r="A45" s="98"/>
      <c r="B45" s="99"/>
      <c r="C45" s="99"/>
      <c r="D45" s="99"/>
      <c r="E45" s="99"/>
      <c r="F45" s="99"/>
      <c r="G45" s="99"/>
      <c r="H45" s="100"/>
    </row>
    <row r="46" spans="1:8">
      <c r="A46" s="98"/>
      <c r="B46" s="99"/>
      <c r="C46" s="99"/>
      <c r="D46" s="99"/>
      <c r="E46" s="99"/>
      <c r="F46" s="99"/>
      <c r="G46" s="99"/>
      <c r="H46" s="100"/>
    </row>
    <row r="47" spans="1:8">
      <c r="A47" s="98"/>
      <c r="B47" s="99"/>
      <c r="C47" s="99"/>
      <c r="D47" s="99"/>
      <c r="E47" s="99"/>
      <c r="F47" s="99"/>
      <c r="G47" s="99"/>
      <c r="H47" s="100"/>
    </row>
    <row r="48" spans="1:8">
      <c r="A48" s="98"/>
      <c r="B48" s="99"/>
      <c r="C48" s="99"/>
      <c r="D48" s="99"/>
      <c r="E48" s="99"/>
      <c r="F48" s="99"/>
      <c r="G48" s="99"/>
      <c r="H48" s="100"/>
    </row>
    <row r="49" spans="1:8">
      <c r="A49" s="98"/>
      <c r="B49" s="99"/>
      <c r="C49" s="99"/>
      <c r="D49" s="99"/>
      <c r="E49" s="99"/>
      <c r="F49" s="99"/>
      <c r="G49" s="99"/>
      <c r="H49" s="100"/>
    </row>
    <row r="50" spans="1:8">
      <c r="A50" s="98"/>
      <c r="B50" s="99"/>
      <c r="C50" s="99"/>
      <c r="D50" s="99"/>
      <c r="E50" s="99"/>
      <c r="F50" s="99"/>
      <c r="G50" s="99"/>
      <c r="H50" s="100"/>
    </row>
    <row r="51" spans="1:8">
      <c r="A51" s="98"/>
      <c r="B51" s="99"/>
      <c r="C51" s="99"/>
      <c r="D51" s="99"/>
      <c r="E51" s="99"/>
      <c r="F51" s="99"/>
      <c r="G51" s="99"/>
      <c r="H51" s="100"/>
    </row>
    <row r="52" spans="1:8">
      <c r="A52" s="98"/>
      <c r="B52" s="99"/>
      <c r="C52" s="99"/>
      <c r="D52" s="99"/>
      <c r="E52" s="99"/>
      <c r="F52" s="99"/>
      <c r="G52" s="99"/>
      <c r="H52" s="100"/>
    </row>
    <row r="53" spans="1:8">
      <c r="A53" s="98"/>
      <c r="B53" s="99"/>
      <c r="C53" s="99"/>
      <c r="D53" s="99"/>
      <c r="E53" s="99"/>
      <c r="F53" s="99"/>
      <c r="G53" s="99"/>
      <c r="H53" s="100"/>
    </row>
    <row r="54" spans="1:8">
      <c r="A54" s="98"/>
      <c r="B54" s="99"/>
      <c r="C54" s="99"/>
      <c r="D54" s="99"/>
      <c r="E54" s="99"/>
      <c r="F54" s="99"/>
      <c r="G54" s="99"/>
      <c r="H54" s="100"/>
    </row>
    <row r="55" spans="1:8">
      <c r="A55" s="98"/>
      <c r="B55" s="99"/>
      <c r="C55" s="99"/>
      <c r="D55" s="99"/>
      <c r="E55" s="99"/>
      <c r="F55" s="99"/>
      <c r="G55" s="99"/>
      <c r="H55" s="100"/>
    </row>
    <row r="56" spans="1:8">
      <c r="A56" s="98"/>
      <c r="B56" s="99"/>
      <c r="C56" s="99"/>
      <c r="D56" s="99"/>
      <c r="E56" s="99"/>
      <c r="F56" s="99"/>
      <c r="G56" s="99"/>
      <c r="H56" s="100"/>
    </row>
    <row r="57" spans="1:8">
      <c r="A57" s="98"/>
      <c r="B57" s="99"/>
      <c r="C57" s="99"/>
      <c r="D57" s="99"/>
      <c r="E57" s="99"/>
      <c r="F57" s="99"/>
      <c r="G57" s="99"/>
      <c r="H57" s="100"/>
    </row>
    <row r="58" spans="1:8">
      <c r="A58" s="98"/>
      <c r="B58" s="99"/>
      <c r="C58" s="99"/>
      <c r="D58" s="99"/>
      <c r="E58" s="99"/>
      <c r="F58" s="99"/>
      <c r="G58" s="99"/>
      <c r="H58" s="100"/>
    </row>
    <row r="59" spans="1:8">
      <c r="A59" s="98"/>
      <c r="B59" s="99"/>
      <c r="C59" s="99"/>
      <c r="D59" s="99"/>
      <c r="E59" s="99"/>
      <c r="F59" s="99"/>
      <c r="G59" s="99"/>
      <c r="H59" s="100"/>
    </row>
    <row r="60" spans="1:8">
      <c r="A60" s="98"/>
      <c r="B60" s="99"/>
      <c r="C60" s="99"/>
      <c r="D60" s="99"/>
      <c r="E60" s="99"/>
      <c r="F60" s="99"/>
      <c r="G60" s="99"/>
      <c r="H60" s="100"/>
    </row>
    <row r="61" spans="1:8">
      <c r="A61" s="98"/>
      <c r="B61" s="99"/>
      <c r="C61" s="99"/>
      <c r="D61" s="99"/>
      <c r="E61" s="99"/>
      <c r="F61" s="99"/>
      <c r="G61" s="99"/>
      <c r="H61" s="100"/>
    </row>
    <row r="62" spans="1:8">
      <c r="A62" s="98"/>
      <c r="B62" s="99"/>
      <c r="C62" s="99"/>
      <c r="D62" s="99"/>
      <c r="E62" s="99"/>
      <c r="F62" s="99"/>
      <c r="G62" s="99"/>
      <c r="H62" s="100"/>
    </row>
    <row r="63" spans="1:8">
      <c r="A63" s="98"/>
      <c r="B63" s="99"/>
      <c r="C63" s="99"/>
      <c r="D63" s="99"/>
      <c r="E63" s="99"/>
      <c r="F63" s="99"/>
      <c r="G63" s="99"/>
      <c r="H63" s="100"/>
    </row>
    <row r="64" spans="1:8">
      <c r="A64" s="98"/>
      <c r="B64" s="99"/>
      <c r="C64" s="99"/>
      <c r="D64" s="99"/>
      <c r="E64" s="99"/>
      <c r="F64" s="99"/>
      <c r="G64" s="99"/>
      <c r="H64" s="100"/>
    </row>
    <row r="65" spans="1:8">
      <c r="A65" s="98"/>
      <c r="B65" s="99"/>
      <c r="C65" s="99"/>
      <c r="D65" s="99"/>
      <c r="E65" s="99"/>
      <c r="F65" s="99"/>
      <c r="G65" s="99"/>
      <c r="H65" s="100"/>
    </row>
    <row r="66" spans="1:8">
      <c r="A66" s="98"/>
      <c r="B66" s="99"/>
      <c r="C66" s="99"/>
      <c r="D66" s="99"/>
      <c r="E66" s="99"/>
      <c r="F66" s="99"/>
      <c r="G66" s="99"/>
      <c r="H66" s="100"/>
    </row>
    <row r="67" spans="1:8">
      <c r="A67" s="98"/>
      <c r="B67" s="99"/>
      <c r="C67" s="99"/>
      <c r="D67" s="99"/>
      <c r="E67" s="99"/>
      <c r="F67" s="99"/>
      <c r="G67" s="99"/>
      <c r="H67" s="100"/>
    </row>
    <row r="68" spans="1:8">
      <c r="A68" s="98"/>
      <c r="B68" s="99"/>
      <c r="C68" s="99"/>
      <c r="D68" s="99"/>
      <c r="E68" s="99"/>
      <c r="F68" s="99"/>
      <c r="G68" s="99"/>
      <c r="H68" s="100"/>
    </row>
    <row r="69" spans="1:8">
      <c r="A69" s="98"/>
      <c r="B69" s="99"/>
      <c r="C69" s="99"/>
      <c r="D69" s="99"/>
      <c r="E69" s="99"/>
      <c r="F69" s="99"/>
      <c r="G69" s="99"/>
      <c r="H69" s="100"/>
    </row>
    <row r="70" spans="1:8">
      <c r="A70" s="98"/>
      <c r="B70" s="99"/>
      <c r="C70" s="99"/>
      <c r="D70" s="99"/>
      <c r="E70" s="99"/>
      <c r="F70" s="99"/>
      <c r="G70" s="99"/>
      <c r="H70" s="100"/>
    </row>
    <row r="71" spans="1:8">
      <c r="A71" s="98"/>
      <c r="B71" s="99"/>
      <c r="C71" s="99"/>
      <c r="D71" s="99"/>
      <c r="E71" s="99"/>
      <c r="F71" s="99"/>
      <c r="G71" s="99"/>
      <c r="H71" s="100"/>
    </row>
    <row r="72" spans="1:8">
      <c r="A72" s="98"/>
      <c r="B72" s="99"/>
      <c r="C72" s="99"/>
      <c r="D72" s="99"/>
      <c r="E72" s="99"/>
      <c r="F72" s="99"/>
      <c r="G72" s="99"/>
      <c r="H72" s="100"/>
    </row>
    <row r="73" spans="1:8">
      <c r="A73" s="98"/>
      <c r="B73" s="99"/>
      <c r="C73" s="99"/>
      <c r="D73" s="99"/>
      <c r="E73" s="99"/>
      <c r="F73" s="99"/>
      <c r="G73" s="99"/>
      <c r="H73" s="100"/>
    </row>
    <row r="74" spans="1:8">
      <c r="A74" s="98"/>
      <c r="B74" s="99"/>
      <c r="C74" s="99"/>
      <c r="D74" s="99"/>
      <c r="E74" s="99"/>
      <c r="F74" s="99"/>
      <c r="G74" s="99"/>
      <c r="H74" s="100"/>
    </row>
    <row r="75" spans="1:8">
      <c r="A75" s="98"/>
      <c r="B75" s="99"/>
      <c r="C75" s="99"/>
      <c r="D75" s="99"/>
      <c r="E75" s="99"/>
      <c r="F75" s="99"/>
      <c r="G75" s="99"/>
      <c r="H75" s="100"/>
    </row>
    <row r="76" spans="1:8">
      <c r="A76" s="98"/>
      <c r="B76" s="99"/>
      <c r="C76" s="99"/>
      <c r="D76" s="99"/>
      <c r="E76" s="99"/>
      <c r="F76" s="99"/>
      <c r="G76" s="99"/>
      <c r="H76" s="100"/>
    </row>
    <row r="77" spans="1:8">
      <c r="A77" s="98"/>
      <c r="B77" s="99"/>
      <c r="C77" s="99"/>
      <c r="D77" s="99"/>
      <c r="E77" s="99"/>
      <c r="F77" s="99"/>
      <c r="G77" s="99"/>
      <c r="H77" s="100"/>
    </row>
    <row r="78" spans="1:8">
      <c r="A78" s="98"/>
      <c r="B78" s="99"/>
      <c r="C78" s="99"/>
      <c r="D78" s="99"/>
      <c r="E78" s="99"/>
      <c r="F78" s="99"/>
      <c r="G78" s="99"/>
      <c r="H78" s="100"/>
    </row>
    <row r="79" spans="1:8">
      <c r="A79" s="98"/>
      <c r="B79" s="99"/>
      <c r="C79" s="99"/>
      <c r="D79" s="99"/>
      <c r="E79" s="99"/>
      <c r="F79" s="99"/>
      <c r="G79" s="99"/>
      <c r="H79" s="100"/>
    </row>
    <row r="80" spans="1:8">
      <c r="A80" s="101"/>
      <c r="B80" s="102"/>
      <c r="C80" s="102"/>
      <c r="D80" s="102"/>
      <c r="E80" s="102"/>
      <c r="F80" s="102"/>
      <c r="G80" s="102"/>
      <c r="H80" s="103"/>
    </row>
  </sheetData>
  <mergeCells count="5">
    <mergeCell ref="A2:H2"/>
    <mergeCell ref="A13:H13"/>
    <mergeCell ref="A1:H1"/>
    <mergeCell ref="A6:H6"/>
    <mergeCell ref="A22:H22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H80"/>
  <sheetViews>
    <sheetView workbookViewId="0">
      <selection sqref="A1:XFD1048576"/>
    </sheetView>
  </sheetViews>
  <sheetFormatPr defaultColWidth="8.875" defaultRowHeight="14.25"/>
  <cols>
    <col min="1" max="1" width="36" style="1" customWidth="1"/>
    <col min="2" max="7" width="14" style="1" customWidth="1"/>
    <col min="8" max="8" width="48" style="1" customWidth="1"/>
    <col min="9" max="16384" width="8.875" style="1"/>
  </cols>
  <sheetData>
    <row r="1" spans="1:8" ht="24" customHeight="1">
      <c r="A1" s="136" t="s">
        <v>797</v>
      </c>
      <c r="B1" s="129"/>
      <c r="C1" s="129"/>
      <c r="D1" s="129"/>
      <c r="E1" s="129"/>
      <c r="F1" s="129"/>
      <c r="G1" s="129"/>
      <c r="H1" s="129"/>
    </row>
    <row r="2" spans="1:8" ht="33.950000000000003" customHeight="1">
      <c r="A2" s="135" t="s">
        <v>798</v>
      </c>
      <c r="B2" s="129"/>
      <c r="C2" s="129"/>
      <c r="D2" s="129"/>
      <c r="E2" s="129"/>
      <c r="F2" s="129"/>
      <c r="G2" s="129"/>
      <c r="H2" s="129"/>
    </row>
    <row r="3" spans="1:8">
      <c r="A3" s="77"/>
      <c r="B3" s="78"/>
      <c r="C3" s="78"/>
      <c r="D3" s="78"/>
      <c r="E3" s="78"/>
      <c r="F3" s="78"/>
      <c r="G3" s="78"/>
      <c r="H3" s="79"/>
    </row>
    <row r="4" spans="1:8" ht="39.75" customHeight="1">
      <c r="A4" s="80" t="s">
        <v>641</v>
      </c>
      <c r="B4" s="81" t="s">
        <v>123</v>
      </c>
      <c r="C4" s="81" t="str">
        <f>Annual_Summary!B$3</f>
        <v>Fiscal year 1 August 2026 - July 2027</v>
      </c>
      <c r="D4" s="81" t="str">
        <f>Annual_Summary!C$3</f>
        <v>Fiscal year 2 August 2027 - July 2028</v>
      </c>
      <c r="E4" s="81" t="str">
        <f>Annual_Summary!D$3</f>
        <v>Fiscal year 3 August 2028 - July 2029</v>
      </c>
      <c r="F4" s="81" t="str">
        <f>Annual_Summary!E$3</f>
        <v>Fiscal year 4 August 2029 - July 2030</v>
      </c>
      <c r="G4" s="81" t="str">
        <f>Annual_Summary!F$3</f>
        <v>Fiscal year 5 August 2030 - July 2031</v>
      </c>
      <c r="H4" s="82" t="s">
        <v>642</v>
      </c>
    </row>
    <row r="5" spans="1:8">
      <c r="A5" s="77"/>
      <c r="B5" s="78"/>
      <c r="C5" s="78"/>
      <c r="D5" s="78"/>
      <c r="E5" s="78"/>
      <c r="F5" s="78"/>
      <c r="G5" s="78"/>
      <c r="H5" s="79"/>
    </row>
    <row r="6" spans="1:8">
      <c r="A6" s="134" t="s">
        <v>799</v>
      </c>
      <c r="B6" s="129"/>
      <c r="C6" s="129"/>
      <c r="D6" s="129"/>
      <c r="E6" s="129"/>
      <c r="F6" s="129"/>
      <c r="G6" s="129"/>
      <c r="H6" s="129"/>
    </row>
    <row r="7" spans="1:8" ht="15">
      <c r="A7" s="84" t="s">
        <v>800</v>
      </c>
      <c r="B7" s="85" t="s">
        <v>207</v>
      </c>
      <c r="C7" s="104">
        <f>FS_Income_Statement!C28-FS_Shareholders_Equity!C15</f>
        <v>0</v>
      </c>
      <c r="D7" s="104">
        <f>FS_Income_Statement!D28-FS_Shareholders_Equity!D15</f>
        <v>0</v>
      </c>
      <c r="E7" s="104">
        <f>FS_Income_Statement!E28-FS_Shareholders_Equity!E15</f>
        <v>0</v>
      </c>
      <c r="F7" s="104">
        <f>FS_Income_Statement!F28-FS_Shareholders_Equity!F15</f>
        <v>0</v>
      </c>
      <c r="G7" s="104">
        <f>FS_Income_Statement!G28-FS_Shareholders_Equity!G15</f>
        <v>0</v>
      </c>
      <c r="H7" s="87" t="s">
        <v>730</v>
      </c>
    </row>
    <row r="8" spans="1:8" ht="15">
      <c r="A8" s="84" t="s">
        <v>801</v>
      </c>
      <c r="B8" s="85" t="s">
        <v>207</v>
      </c>
      <c r="C8" s="104">
        <f>FS_Balance_Sheet!C28</f>
        <v>0</v>
      </c>
      <c r="D8" s="104">
        <f>FS_Balance_Sheet!D28</f>
        <v>0</v>
      </c>
      <c r="E8" s="104">
        <f>FS_Balance_Sheet!E28</f>
        <v>0</v>
      </c>
      <c r="F8" s="104">
        <f>FS_Balance_Sheet!F28</f>
        <v>0</v>
      </c>
      <c r="G8" s="104">
        <f>FS_Balance_Sheet!G28</f>
        <v>0</v>
      </c>
      <c r="H8" s="87" t="s">
        <v>730</v>
      </c>
    </row>
    <row r="9" spans="1:8" ht="27" customHeight="1">
      <c r="A9" s="84" t="s">
        <v>802</v>
      </c>
      <c r="B9" s="85" t="s">
        <v>207</v>
      </c>
      <c r="C9" s="104">
        <f>FS_Cash_Flows!C32</f>
        <v>0</v>
      </c>
      <c r="D9" s="104">
        <f>FS_Cash_Flows!D32</f>
        <v>0</v>
      </c>
      <c r="E9" s="104">
        <f>FS_Cash_Flows!E32</f>
        <v>0</v>
      </c>
      <c r="F9" s="104">
        <f>FS_Cash_Flows!F32</f>
        <v>0</v>
      </c>
      <c r="G9" s="104">
        <f>FS_Cash_Flows!G32</f>
        <v>0</v>
      </c>
      <c r="H9" s="87" t="s">
        <v>730</v>
      </c>
    </row>
    <row r="10" spans="1:8" ht="15">
      <c r="A10" s="84" t="s">
        <v>803</v>
      </c>
      <c r="B10" s="85" t="s">
        <v>207</v>
      </c>
      <c r="C10" s="104">
        <f>FS_Shareholders_Equity!C27</f>
        <v>0</v>
      </c>
      <c r="D10" s="104">
        <f>FS_Shareholders_Equity!D27</f>
        <v>0</v>
      </c>
      <c r="E10" s="104">
        <f>FS_Shareholders_Equity!E27</f>
        <v>0</v>
      </c>
      <c r="F10" s="104">
        <f>FS_Shareholders_Equity!F27</f>
        <v>0</v>
      </c>
      <c r="G10" s="104">
        <f>FS_Shareholders_Equity!G27</f>
        <v>0</v>
      </c>
      <c r="H10" s="87" t="s">
        <v>730</v>
      </c>
    </row>
    <row r="11" spans="1:8">
      <c r="A11" s="77" t="s">
        <v>804</v>
      </c>
      <c r="B11" s="78" t="s">
        <v>805</v>
      </c>
      <c r="C11" s="88" t="str">
        <f>IF(AND(ECL_Module!C5=0,ECL_Module!C26=0),"OK",IF(ECL_Module!C5&gt;0,"OK","Check"))</f>
        <v>OK</v>
      </c>
      <c r="D11" s="88" t="str">
        <f>IF(AND(ECL_Module!D5=0,ECL_Module!D26=0),"OK",IF(ECL_Module!D5&gt;0,"OK","Check"))</f>
        <v>OK</v>
      </c>
      <c r="E11" s="88" t="str">
        <f>IF(AND(ECL_Module!E5=0,ECL_Module!E26=0),"OK",IF(ECL_Module!E5&gt;0,"OK","Check"))</f>
        <v>OK</v>
      </c>
      <c r="F11" s="88" t="str">
        <f>IF(AND(ECL_Module!F5=0,ECL_Module!F26=0),"OK",IF(ECL_Module!F5&gt;0,"OK","Check"))</f>
        <v>OK</v>
      </c>
      <c r="G11" s="88" t="str">
        <f>IF(AND(ECL_Module!G5=0,ECL_Module!G26=0),"OK",IF(ECL_Module!G5&gt;0,"OK","Check"))</f>
        <v>OK</v>
      </c>
      <c r="H11" s="79" t="s">
        <v>806</v>
      </c>
    </row>
    <row r="12" spans="1:8">
      <c r="A12" s="77" t="s">
        <v>807</v>
      </c>
      <c r="B12" s="78" t="s">
        <v>805</v>
      </c>
      <c r="C12" s="88" t="str">
        <f>IF(FS_Shareholders_Equity!C26&gt;=Assumptions!$B$11,"OK","BREACH")</f>
        <v>OK</v>
      </c>
      <c r="D12" s="88" t="str">
        <f>IF(FS_Shareholders_Equity!D26&gt;=Assumptions!$B$11,"OK","BREACH")</f>
        <v>OK</v>
      </c>
      <c r="E12" s="88" t="str">
        <f>IF(FS_Shareholders_Equity!E26&gt;=Assumptions!$B$11,"OK","BREACH")</f>
        <v>OK</v>
      </c>
      <c r="F12" s="88" t="str">
        <f>IF(FS_Shareholders_Equity!F26&gt;=Assumptions!$B$11,"OK","BREACH")</f>
        <v>OK</v>
      </c>
      <c r="G12" s="88" t="str">
        <f>IF(FS_Shareholders_Equity!G26&gt;=Assumptions!$B$11,"OK","BREACH")</f>
        <v>OK</v>
      </c>
      <c r="H12" s="79" t="s">
        <v>808</v>
      </c>
    </row>
    <row r="13" spans="1:8">
      <c r="A13" s="77" t="s">
        <v>809</v>
      </c>
      <c r="B13" s="78" t="s">
        <v>805</v>
      </c>
      <c r="C13" s="88" t="str">
        <f>IF(Annual_Summary!B37&gt;=1,"OK","BREACH")</f>
        <v>OK</v>
      </c>
      <c r="D13" s="88" t="str">
        <f>IF(Annual_Summary!C37&gt;=1,"OK","BREACH")</f>
        <v>OK</v>
      </c>
      <c r="E13" s="88" t="str">
        <f>IF(Annual_Summary!D37&gt;=1,"OK","BREACH")</f>
        <v>OK</v>
      </c>
      <c r="F13" s="88" t="str">
        <f>IF(Annual_Summary!E37&gt;=1,"OK","BREACH")</f>
        <v>OK</v>
      </c>
      <c r="G13" s="88" t="str">
        <f>IF(Annual_Summary!F37&gt;=1,"OK","BREACH")</f>
        <v>OK</v>
      </c>
      <c r="H13" s="79" t="s">
        <v>808</v>
      </c>
    </row>
    <row r="14" spans="1:8">
      <c r="A14" s="77"/>
      <c r="B14" s="78"/>
      <c r="C14" s="88"/>
      <c r="D14" s="88"/>
      <c r="E14" s="88"/>
      <c r="F14" s="88"/>
      <c r="G14" s="88"/>
      <c r="H14" s="79"/>
    </row>
    <row r="15" spans="1:8">
      <c r="A15" s="77"/>
      <c r="B15" s="78"/>
      <c r="C15" s="88"/>
      <c r="D15" s="88"/>
      <c r="E15" s="88"/>
      <c r="F15" s="88"/>
      <c r="G15" s="88"/>
      <c r="H15" s="79"/>
    </row>
    <row r="16" spans="1:8">
      <c r="A16" s="77"/>
      <c r="B16" s="78"/>
      <c r="C16" s="88"/>
      <c r="D16" s="88"/>
      <c r="E16" s="88"/>
      <c r="F16" s="88"/>
      <c r="G16" s="88"/>
      <c r="H16" s="79"/>
    </row>
    <row r="17" spans="1:8">
      <c r="A17" s="134" t="s">
        <v>810</v>
      </c>
      <c r="B17" s="129"/>
      <c r="C17" s="129"/>
      <c r="D17" s="129"/>
      <c r="E17" s="129"/>
      <c r="F17" s="129"/>
      <c r="G17" s="129"/>
      <c r="H17" s="129"/>
    </row>
    <row r="18" spans="1:8" ht="51.75" customHeight="1">
      <c r="A18" s="77" t="s">
        <v>811</v>
      </c>
      <c r="B18" s="78" t="s">
        <v>812</v>
      </c>
      <c r="C18" s="88"/>
      <c r="D18" s="88"/>
      <c r="E18" s="88"/>
      <c r="F18" s="88"/>
      <c r="G18" s="88"/>
      <c r="H18" s="79" t="s">
        <v>813</v>
      </c>
    </row>
    <row r="19" spans="1:8" ht="39.75" customHeight="1">
      <c r="A19" s="77" t="s">
        <v>814</v>
      </c>
      <c r="B19" s="78" t="s">
        <v>812</v>
      </c>
      <c r="C19" s="88"/>
      <c r="D19" s="88"/>
      <c r="E19" s="88"/>
      <c r="F19" s="88"/>
      <c r="G19" s="88"/>
      <c r="H19" s="79" t="s">
        <v>815</v>
      </c>
    </row>
    <row r="20" spans="1:8" ht="27" customHeight="1">
      <c r="A20" s="77" t="s">
        <v>816</v>
      </c>
      <c r="B20" s="78" t="s">
        <v>812</v>
      </c>
      <c r="C20" s="88"/>
      <c r="D20" s="88"/>
      <c r="E20" s="88"/>
      <c r="F20" s="88"/>
      <c r="G20" s="88"/>
      <c r="H20" s="79" t="s">
        <v>817</v>
      </c>
    </row>
    <row r="21" spans="1:8" ht="15">
      <c r="A21" s="93" t="s">
        <v>818</v>
      </c>
      <c r="B21" s="94"/>
      <c r="C21" s="95"/>
      <c r="D21" s="95"/>
      <c r="E21" s="95"/>
      <c r="F21" s="95"/>
      <c r="G21" s="95"/>
      <c r="H21" s="96"/>
    </row>
    <row r="22" spans="1:8">
      <c r="A22" s="77" t="s">
        <v>819</v>
      </c>
      <c r="B22" s="78" t="s">
        <v>207</v>
      </c>
      <c r="C22" s="88">
        <f>ECL_Module!C10</f>
        <v>0</v>
      </c>
      <c r="D22" s="88">
        <f>ECL_Module!D10</f>
        <v>0</v>
      </c>
      <c r="E22" s="88">
        <f>ECL_Module!E10</f>
        <v>0</v>
      </c>
      <c r="F22" s="88">
        <f>ECL_Module!F10</f>
        <v>0</v>
      </c>
      <c r="G22" s="88">
        <f>ECL_Module!G10</f>
        <v>0</v>
      </c>
      <c r="H22" s="79" t="s">
        <v>730</v>
      </c>
    </row>
    <row r="23" spans="1:8" ht="27" customHeight="1">
      <c r="A23" s="77" t="s">
        <v>820</v>
      </c>
      <c r="B23" s="78" t="s">
        <v>805</v>
      </c>
      <c r="C23" s="88" t="str">
        <f>ECL_Module!C30</f>
        <v>OK</v>
      </c>
      <c r="D23" s="88" t="str">
        <f>ECL_Module!D30</f>
        <v>OK</v>
      </c>
      <c r="E23" s="88" t="str">
        <f>ECL_Module!E30</f>
        <v>OK</v>
      </c>
      <c r="F23" s="88" t="str">
        <f>ECL_Module!F30</f>
        <v>OK</v>
      </c>
      <c r="G23" s="88" t="str">
        <f>ECL_Module!G30</f>
        <v>OK</v>
      </c>
      <c r="H23" s="79" t="s">
        <v>821</v>
      </c>
    </row>
    <row r="24" spans="1:8">
      <c r="A24" s="77" t="s">
        <v>822</v>
      </c>
      <c r="B24" s="78" t="s">
        <v>207</v>
      </c>
      <c r="C24" s="88">
        <f>ECL_Module!C15+SUM(FS_Balance_Sheet!C9:C11)</f>
        <v>0</v>
      </c>
      <c r="D24" s="88">
        <f>ECL_Module!D15+SUM(FS_Balance_Sheet!D9:D11)</f>
        <v>0</v>
      </c>
      <c r="E24" s="88">
        <f>ECL_Module!E15+SUM(FS_Balance_Sheet!E9:E11)</f>
        <v>0</v>
      </c>
      <c r="F24" s="88">
        <f>ECL_Module!F15+SUM(FS_Balance_Sheet!F9:F11)</f>
        <v>0</v>
      </c>
      <c r="G24" s="88">
        <f>ECL_Module!G15+SUM(FS_Balance_Sheet!G9:G11)</f>
        <v>0</v>
      </c>
      <c r="H24" s="79" t="s">
        <v>730</v>
      </c>
    </row>
    <row r="25" spans="1:8" ht="27" customHeight="1">
      <c r="A25" s="77" t="s">
        <v>823</v>
      </c>
      <c r="B25" s="78" t="s">
        <v>207</v>
      </c>
      <c r="C25" s="88">
        <f>ECL_Module!C23-FS_Balance_Sheet!C19</f>
        <v>0</v>
      </c>
      <c r="D25" s="88">
        <f>ECL_Module!D23-FS_Balance_Sheet!D19</f>
        <v>0</v>
      </c>
      <c r="E25" s="88">
        <f>ECL_Module!E23-FS_Balance_Sheet!E19</f>
        <v>0</v>
      </c>
      <c r="F25" s="88">
        <f>ECL_Module!F23-FS_Balance_Sheet!F19</f>
        <v>0</v>
      </c>
      <c r="G25" s="88">
        <f>ECL_Module!G23-FS_Balance_Sheet!G19</f>
        <v>0</v>
      </c>
      <c r="H25" s="79" t="s">
        <v>730</v>
      </c>
    </row>
    <row r="26" spans="1:8">
      <c r="A26" s="98"/>
      <c r="B26" s="99"/>
      <c r="C26" s="99"/>
      <c r="D26" s="99"/>
      <c r="E26" s="99"/>
      <c r="F26" s="99"/>
      <c r="G26" s="99"/>
      <c r="H26" s="100"/>
    </row>
    <row r="27" spans="1:8">
      <c r="A27" s="98"/>
      <c r="B27" s="99"/>
      <c r="C27" s="99"/>
      <c r="D27" s="99"/>
      <c r="E27" s="99"/>
      <c r="F27" s="99"/>
      <c r="G27" s="99"/>
      <c r="H27" s="100"/>
    </row>
    <row r="28" spans="1:8">
      <c r="A28" s="98"/>
      <c r="B28" s="99"/>
      <c r="C28" s="99"/>
      <c r="D28" s="99"/>
      <c r="E28" s="99"/>
      <c r="F28" s="99"/>
      <c r="G28" s="99"/>
      <c r="H28" s="100"/>
    </row>
    <row r="29" spans="1:8">
      <c r="A29" s="98"/>
      <c r="B29" s="99"/>
      <c r="C29" s="99"/>
      <c r="D29" s="99"/>
      <c r="E29" s="99"/>
      <c r="F29" s="99"/>
      <c r="G29" s="99"/>
      <c r="H29" s="100"/>
    </row>
    <row r="30" spans="1:8">
      <c r="A30" s="98"/>
      <c r="B30" s="99"/>
      <c r="C30" s="99"/>
      <c r="D30" s="99"/>
      <c r="E30" s="99"/>
      <c r="F30" s="99"/>
      <c r="G30" s="99"/>
      <c r="H30" s="100"/>
    </row>
    <row r="31" spans="1:8">
      <c r="A31" s="98"/>
      <c r="B31" s="99"/>
      <c r="C31" s="99"/>
      <c r="D31" s="99"/>
      <c r="E31" s="99"/>
      <c r="F31" s="99"/>
      <c r="G31" s="99"/>
      <c r="H31" s="100"/>
    </row>
    <row r="32" spans="1:8">
      <c r="A32" s="98"/>
      <c r="B32" s="99"/>
      <c r="C32" s="99"/>
      <c r="D32" s="99"/>
      <c r="E32" s="99"/>
      <c r="F32" s="99"/>
      <c r="G32" s="99"/>
      <c r="H32" s="100"/>
    </row>
    <row r="33" spans="1:8">
      <c r="A33" s="98"/>
      <c r="B33" s="99"/>
      <c r="C33" s="99"/>
      <c r="D33" s="99"/>
      <c r="E33" s="99"/>
      <c r="F33" s="99"/>
      <c r="G33" s="99"/>
      <c r="H33" s="100"/>
    </row>
    <row r="34" spans="1:8">
      <c r="A34" s="98"/>
      <c r="B34" s="99"/>
      <c r="C34" s="99"/>
      <c r="D34" s="99"/>
      <c r="E34" s="99"/>
      <c r="F34" s="99"/>
      <c r="G34" s="99"/>
      <c r="H34" s="100"/>
    </row>
    <row r="35" spans="1:8">
      <c r="A35" s="98"/>
      <c r="B35" s="99"/>
      <c r="C35" s="99"/>
      <c r="D35" s="99"/>
      <c r="E35" s="99"/>
      <c r="F35" s="99"/>
      <c r="G35" s="99"/>
      <c r="H35" s="100"/>
    </row>
    <row r="36" spans="1:8">
      <c r="A36" s="98"/>
      <c r="B36" s="99"/>
      <c r="C36" s="99"/>
      <c r="D36" s="99"/>
      <c r="E36" s="99"/>
      <c r="F36" s="99"/>
      <c r="G36" s="99"/>
      <c r="H36" s="100"/>
    </row>
    <row r="37" spans="1:8">
      <c r="A37" s="98"/>
      <c r="B37" s="99"/>
      <c r="C37" s="99"/>
      <c r="D37" s="99"/>
      <c r="E37" s="99"/>
      <c r="F37" s="99"/>
      <c r="G37" s="99"/>
      <c r="H37" s="100"/>
    </row>
    <row r="38" spans="1:8">
      <c r="A38" s="98"/>
      <c r="B38" s="99"/>
      <c r="C38" s="99"/>
      <c r="D38" s="99"/>
      <c r="E38" s="99"/>
      <c r="F38" s="99"/>
      <c r="G38" s="99"/>
      <c r="H38" s="100"/>
    </row>
    <row r="39" spans="1:8">
      <c r="A39" s="98"/>
      <c r="B39" s="99"/>
      <c r="C39" s="99"/>
      <c r="D39" s="99"/>
      <c r="E39" s="99"/>
      <c r="F39" s="99"/>
      <c r="G39" s="99"/>
      <c r="H39" s="100"/>
    </row>
    <row r="40" spans="1:8">
      <c r="A40" s="98"/>
      <c r="B40" s="99"/>
      <c r="C40" s="99"/>
      <c r="D40" s="99"/>
      <c r="E40" s="99"/>
      <c r="F40" s="99"/>
      <c r="G40" s="99"/>
      <c r="H40" s="100"/>
    </row>
    <row r="41" spans="1:8">
      <c r="A41" s="98"/>
      <c r="B41" s="99"/>
      <c r="C41" s="99"/>
      <c r="D41" s="99"/>
      <c r="E41" s="99"/>
      <c r="F41" s="99"/>
      <c r="G41" s="99"/>
      <c r="H41" s="100"/>
    </row>
    <row r="42" spans="1:8">
      <c r="A42" s="98"/>
      <c r="B42" s="99"/>
      <c r="C42" s="99"/>
      <c r="D42" s="99"/>
      <c r="E42" s="99"/>
      <c r="F42" s="99"/>
      <c r="G42" s="99"/>
      <c r="H42" s="100"/>
    </row>
    <row r="43" spans="1:8">
      <c r="A43" s="98"/>
      <c r="B43" s="99"/>
      <c r="C43" s="99"/>
      <c r="D43" s="99"/>
      <c r="E43" s="99"/>
      <c r="F43" s="99"/>
      <c r="G43" s="99"/>
      <c r="H43" s="100"/>
    </row>
    <row r="44" spans="1:8">
      <c r="A44" s="98"/>
      <c r="B44" s="99"/>
      <c r="C44" s="99"/>
      <c r="D44" s="99"/>
      <c r="E44" s="99"/>
      <c r="F44" s="99"/>
      <c r="G44" s="99"/>
      <c r="H44" s="100"/>
    </row>
    <row r="45" spans="1:8">
      <c r="A45" s="98"/>
      <c r="B45" s="99"/>
      <c r="C45" s="99"/>
      <c r="D45" s="99"/>
      <c r="E45" s="99"/>
      <c r="F45" s="99"/>
      <c r="G45" s="99"/>
      <c r="H45" s="100"/>
    </row>
    <row r="46" spans="1:8">
      <c r="A46" s="98"/>
      <c r="B46" s="99"/>
      <c r="C46" s="99"/>
      <c r="D46" s="99"/>
      <c r="E46" s="99"/>
      <c r="F46" s="99"/>
      <c r="G46" s="99"/>
      <c r="H46" s="100"/>
    </row>
    <row r="47" spans="1:8">
      <c r="A47" s="98"/>
      <c r="B47" s="99"/>
      <c r="C47" s="99"/>
      <c r="D47" s="99"/>
      <c r="E47" s="99"/>
      <c r="F47" s="99"/>
      <c r="G47" s="99"/>
      <c r="H47" s="100"/>
    </row>
    <row r="48" spans="1:8">
      <c r="A48" s="98"/>
      <c r="B48" s="99"/>
      <c r="C48" s="99"/>
      <c r="D48" s="99"/>
      <c r="E48" s="99"/>
      <c r="F48" s="99"/>
      <c r="G48" s="99"/>
      <c r="H48" s="100"/>
    </row>
    <row r="49" spans="1:8">
      <c r="A49" s="98"/>
      <c r="B49" s="99"/>
      <c r="C49" s="99"/>
      <c r="D49" s="99"/>
      <c r="E49" s="99"/>
      <c r="F49" s="99"/>
      <c r="G49" s="99"/>
      <c r="H49" s="100"/>
    </row>
    <row r="50" spans="1:8">
      <c r="A50" s="98"/>
      <c r="B50" s="99"/>
      <c r="C50" s="99"/>
      <c r="D50" s="99"/>
      <c r="E50" s="99"/>
      <c r="F50" s="99"/>
      <c r="G50" s="99"/>
      <c r="H50" s="100"/>
    </row>
    <row r="51" spans="1:8">
      <c r="A51" s="98"/>
      <c r="B51" s="99"/>
      <c r="C51" s="99"/>
      <c r="D51" s="99"/>
      <c r="E51" s="99"/>
      <c r="F51" s="99"/>
      <c r="G51" s="99"/>
      <c r="H51" s="100"/>
    </row>
    <row r="52" spans="1:8">
      <c r="A52" s="98"/>
      <c r="B52" s="99"/>
      <c r="C52" s="99"/>
      <c r="D52" s="99"/>
      <c r="E52" s="99"/>
      <c r="F52" s="99"/>
      <c r="G52" s="99"/>
      <c r="H52" s="100"/>
    </row>
    <row r="53" spans="1:8">
      <c r="A53" s="98"/>
      <c r="B53" s="99"/>
      <c r="C53" s="99"/>
      <c r="D53" s="99"/>
      <c r="E53" s="99"/>
      <c r="F53" s="99"/>
      <c r="G53" s="99"/>
      <c r="H53" s="100"/>
    </row>
    <row r="54" spans="1:8">
      <c r="A54" s="98"/>
      <c r="B54" s="99"/>
      <c r="C54" s="99"/>
      <c r="D54" s="99"/>
      <c r="E54" s="99"/>
      <c r="F54" s="99"/>
      <c r="G54" s="99"/>
      <c r="H54" s="100"/>
    </row>
    <row r="55" spans="1:8">
      <c r="A55" s="98"/>
      <c r="B55" s="99"/>
      <c r="C55" s="99"/>
      <c r="D55" s="99"/>
      <c r="E55" s="99"/>
      <c r="F55" s="99"/>
      <c r="G55" s="99"/>
      <c r="H55" s="100"/>
    </row>
    <row r="56" spans="1:8">
      <c r="A56" s="98"/>
      <c r="B56" s="99"/>
      <c r="C56" s="99"/>
      <c r="D56" s="99"/>
      <c r="E56" s="99"/>
      <c r="F56" s="99"/>
      <c r="G56" s="99"/>
      <c r="H56" s="100"/>
    </row>
    <row r="57" spans="1:8">
      <c r="A57" s="98"/>
      <c r="B57" s="99"/>
      <c r="C57" s="99"/>
      <c r="D57" s="99"/>
      <c r="E57" s="99"/>
      <c r="F57" s="99"/>
      <c r="G57" s="99"/>
      <c r="H57" s="100"/>
    </row>
    <row r="58" spans="1:8">
      <c r="A58" s="98"/>
      <c r="B58" s="99"/>
      <c r="C58" s="99"/>
      <c r="D58" s="99"/>
      <c r="E58" s="99"/>
      <c r="F58" s="99"/>
      <c r="G58" s="99"/>
      <c r="H58" s="100"/>
    </row>
    <row r="59" spans="1:8">
      <c r="A59" s="98"/>
      <c r="B59" s="99"/>
      <c r="C59" s="99"/>
      <c r="D59" s="99"/>
      <c r="E59" s="99"/>
      <c r="F59" s="99"/>
      <c r="G59" s="99"/>
      <c r="H59" s="100"/>
    </row>
    <row r="60" spans="1:8">
      <c r="A60" s="98"/>
      <c r="B60" s="99"/>
      <c r="C60" s="99"/>
      <c r="D60" s="99"/>
      <c r="E60" s="99"/>
      <c r="F60" s="99"/>
      <c r="G60" s="99"/>
      <c r="H60" s="100"/>
    </row>
    <row r="61" spans="1:8">
      <c r="A61" s="98"/>
      <c r="B61" s="99"/>
      <c r="C61" s="99"/>
      <c r="D61" s="99"/>
      <c r="E61" s="99"/>
      <c r="F61" s="99"/>
      <c r="G61" s="99"/>
      <c r="H61" s="100"/>
    </row>
    <row r="62" spans="1:8">
      <c r="A62" s="98"/>
      <c r="B62" s="99"/>
      <c r="C62" s="99"/>
      <c r="D62" s="99"/>
      <c r="E62" s="99"/>
      <c r="F62" s="99"/>
      <c r="G62" s="99"/>
      <c r="H62" s="100"/>
    </row>
    <row r="63" spans="1:8">
      <c r="A63" s="98"/>
      <c r="B63" s="99"/>
      <c r="C63" s="99"/>
      <c r="D63" s="99"/>
      <c r="E63" s="99"/>
      <c r="F63" s="99"/>
      <c r="G63" s="99"/>
      <c r="H63" s="100"/>
    </row>
    <row r="64" spans="1:8">
      <c r="A64" s="98"/>
      <c r="B64" s="99"/>
      <c r="C64" s="99"/>
      <c r="D64" s="99"/>
      <c r="E64" s="99"/>
      <c r="F64" s="99"/>
      <c r="G64" s="99"/>
      <c r="H64" s="100"/>
    </row>
    <row r="65" spans="1:8">
      <c r="A65" s="98"/>
      <c r="B65" s="99"/>
      <c r="C65" s="99"/>
      <c r="D65" s="99"/>
      <c r="E65" s="99"/>
      <c r="F65" s="99"/>
      <c r="G65" s="99"/>
      <c r="H65" s="100"/>
    </row>
    <row r="66" spans="1:8">
      <c r="A66" s="98"/>
      <c r="B66" s="99"/>
      <c r="C66" s="99"/>
      <c r="D66" s="99"/>
      <c r="E66" s="99"/>
      <c r="F66" s="99"/>
      <c r="G66" s="99"/>
      <c r="H66" s="100"/>
    </row>
    <row r="67" spans="1:8">
      <c r="A67" s="98"/>
      <c r="B67" s="99"/>
      <c r="C67" s="99"/>
      <c r="D67" s="99"/>
      <c r="E67" s="99"/>
      <c r="F67" s="99"/>
      <c r="G67" s="99"/>
      <c r="H67" s="100"/>
    </row>
    <row r="68" spans="1:8">
      <c r="A68" s="98"/>
      <c r="B68" s="99"/>
      <c r="C68" s="99"/>
      <c r="D68" s="99"/>
      <c r="E68" s="99"/>
      <c r="F68" s="99"/>
      <c r="G68" s="99"/>
      <c r="H68" s="100"/>
    </row>
    <row r="69" spans="1:8">
      <c r="A69" s="98"/>
      <c r="B69" s="99"/>
      <c r="C69" s="99"/>
      <c r="D69" s="99"/>
      <c r="E69" s="99"/>
      <c r="F69" s="99"/>
      <c r="G69" s="99"/>
      <c r="H69" s="100"/>
    </row>
    <row r="70" spans="1:8">
      <c r="A70" s="98"/>
      <c r="B70" s="99"/>
      <c r="C70" s="99"/>
      <c r="D70" s="99"/>
      <c r="E70" s="99"/>
      <c r="F70" s="99"/>
      <c r="G70" s="99"/>
      <c r="H70" s="100"/>
    </row>
    <row r="71" spans="1:8">
      <c r="A71" s="98"/>
      <c r="B71" s="99"/>
      <c r="C71" s="99"/>
      <c r="D71" s="99"/>
      <c r="E71" s="99"/>
      <c r="F71" s="99"/>
      <c r="G71" s="99"/>
      <c r="H71" s="100"/>
    </row>
    <row r="72" spans="1:8">
      <c r="A72" s="98"/>
      <c r="B72" s="99"/>
      <c r="C72" s="99"/>
      <c r="D72" s="99"/>
      <c r="E72" s="99"/>
      <c r="F72" s="99"/>
      <c r="G72" s="99"/>
      <c r="H72" s="100"/>
    </row>
    <row r="73" spans="1:8">
      <c r="A73" s="98"/>
      <c r="B73" s="99"/>
      <c r="C73" s="99"/>
      <c r="D73" s="99"/>
      <c r="E73" s="99"/>
      <c r="F73" s="99"/>
      <c r="G73" s="99"/>
      <c r="H73" s="100"/>
    </row>
    <row r="74" spans="1:8">
      <c r="A74" s="98"/>
      <c r="B74" s="99"/>
      <c r="C74" s="99"/>
      <c r="D74" s="99"/>
      <c r="E74" s="99"/>
      <c r="F74" s="99"/>
      <c r="G74" s="99"/>
      <c r="H74" s="100"/>
    </row>
    <row r="75" spans="1:8">
      <c r="A75" s="98"/>
      <c r="B75" s="99"/>
      <c r="C75" s="99"/>
      <c r="D75" s="99"/>
      <c r="E75" s="99"/>
      <c r="F75" s="99"/>
      <c r="G75" s="99"/>
      <c r="H75" s="100"/>
    </row>
    <row r="76" spans="1:8">
      <c r="A76" s="98"/>
      <c r="B76" s="99"/>
      <c r="C76" s="99"/>
      <c r="D76" s="99"/>
      <c r="E76" s="99"/>
      <c r="F76" s="99"/>
      <c r="G76" s="99"/>
      <c r="H76" s="100"/>
    </row>
    <row r="77" spans="1:8">
      <c r="A77" s="98"/>
      <c r="B77" s="99"/>
      <c r="C77" s="99"/>
      <c r="D77" s="99"/>
      <c r="E77" s="99"/>
      <c r="F77" s="99"/>
      <c r="G77" s="99"/>
      <c r="H77" s="100"/>
    </row>
    <row r="78" spans="1:8">
      <c r="A78" s="98"/>
      <c r="B78" s="99"/>
      <c r="C78" s="99"/>
      <c r="D78" s="99"/>
      <c r="E78" s="99"/>
      <c r="F78" s="99"/>
      <c r="G78" s="99"/>
      <c r="H78" s="100"/>
    </row>
    <row r="79" spans="1:8">
      <c r="A79" s="98"/>
      <c r="B79" s="99"/>
      <c r="C79" s="99"/>
      <c r="D79" s="99"/>
      <c r="E79" s="99"/>
      <c r="F79" s="99"/>
      <c r="G79" s="99"/>
      <c r="H79" s="100"/>
    </row>
    <row r="80" spans="1:8">
      <c r="A80" s="101"/>
      <c r="B80" s="102"/>
      <c r="C80" s="102"/>
      <c r="D80" s="102"/>
      <c r="E80" s="102"/>
      <c r="F80" s="102"/>
      <c r="G80" s="102"/>
      <c r="H80" s="103"/>
    </row>
  </sheetData>
  <mergeCells count="4">
    <mergeCell ref="A1:H1"/>
    <mergeCell ref="A2:H2"/>
    <mergeCell ref="A6:H6"/>
    <mergeCell ref="A17:H17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H40"/>
  <sheetViews>
    <sheetView workbookViewId="0">
      <selection sqref="A1:XFD1048576"/>
    </sheetView>
  </sheetViews>
  <sheetFormatPr defaultColWidth="8.875" defaultRowHeight="14.25"/>
  <cols>
    <col min="1" max="1" width="38" style="1" customWidth="1"/>
    <col min="2" max="2" width="18" style="1" customWidth="1"/>
    <col min="3" max="7" width="14" style="1" customWidth="1"/>
    <col min="8" max="8" width="45" style="1" customWidth="1"/>
    <col min="9" max="16384" width="8.875" style="1"/>
  </cols>
  <sheetData>
    <row r="1" spans="1:8" ht="27.95" customHeight="1">
      <c r="A1" s="139" t="s">
        <v>824</v>
      </c>
      <c r="B1" s="129"/>
      <c r="C1" s="129"/>
      <c r="D1" s="129"/>
      <c r="E1" s="129"/>
      <c r="F1" s="129"/>
      <c r="G1" s="129"/>
      <c r="H1" s="129"/>
    </row>
    <row r="2" spans="1:8" ht="33.950000000000003" customHeight="1">
      <c r="A2" s="138" t="s">
        <v>825</v>
      </c>
      <c r="B2" s="129"/>
      <c r="C2" s="129"/>
      <c r="D2" s="129"/>
      <c r="E2" s="129"/>
      <c r="F2" s="129"/>
      <c r="G2" s="129"/>
      <c r="H2" s="129"/>
    </row>
    <row r="3" spans="1:8">
      <c r="A3" s="2"/>
      <c r="B3" s="2"/>
      <c r="C3" s="2"/>
      <c r="D3" s="2"/>
      <c r="E3" s="2"/>
      <c r="F3" s="2"/>
      <c r="G3" s="2"/>
      <c r="H3" s="2"/>
    </row>
    <row r="4" spans="1:8" ht="41.25" customHeight="1">
      <c r="A4" s="112" t="s">
        <v>826</v>
      </c>
      <c r="B4" s="112" t="s">
        <v>123</v>
      </c>
      <c r="C4" s="112" t="s">
        <v>224</v>
      </c>
      <c r="D4" s="112" t="s">
        <v>225</v>
      </c>
      <c r="E4" s="112" t="s">
        <v>226</v>
      </c>
      <c r="F4" s="112" t="s">
        <v>227</v>
      </c>
      <c r="G4" s="112" t="s">
        <v>228</v>
      </c>
      <c r="H4" s="112" t="s">
        <v>827</v>
      </c>
    </row>
    <row r="5" spans="1:8" ht="30">
      <c r="A5" s="74" t="s">
        <v>828</v>
      </c>
      <c r="B5" s="74"/>
      <c r="C5" s="74"/>
      <c r="D5" s="74"/>
      <c r="E5" s="74"/>
      <c r="F5" s="74"/>
      <c r="G5" s="74"/>
      <c r="H5" s="74" t="s">
        <v>829</v>
      </c>
    </row>
    <row r="6" spans="1:8" ht="27.75" customHeight="1">
      <c r="A6" s="2" t="s">
        <v>830</v>
      </c>
      <c r="B6" s="2" t="s">
        <v>831</v>
      </c>
      <c r="C6" s="71">
        <v>0</v>
      </c>
      <c r="D6" s="71">
        <v>0.96</v>
      </c>
      <c r="E6" s="71">
        <v>0.94</v>
      </c>
      <c r="F6" s="71">
        <v>0.93</v>
      </c>
      <c r="G6" s="71">
        <v>0.92</v>
      </c>
      <c r="H6" s="2" t="s">
        <v>832</v>
      </c>
    </row>
    <row r="7" spans="1:8" ht="27.75" customHeight="1">
      <c r="A7" s="2" t="s">
        <v>833</v>
      </c>
      <c r="B7" s="2" t="s">
        <v>831</v>
      </c>
      <c r="C7" s="71">
        <v>0</v>
      </c>
      <c r="D7" s="71">
        <v>0.03</v>
      </c>
      <c r="E7" s="71">
        <v>0.04</v>
      </c>
      <c r="F7" s="71">
        <v>4.4999999999999998E-2</v>
      </c>
      <c r="G7" s="71">
        <v>0.05</v>
      </c>
      <c r="H7" s="2" t="s">
        <v>834</v>
      </c>
    </row>
    <row r="8" spans="1:8" ht="27.75" customHeight="1">
      <c r="A8" s="2" t="s">
        <v>835</v>
      </c>
      <c r="B8" s="2" t="s">
        <v>831</v>
      </c>
      <c r="C8" s="71">
        <v>0</v>
      </c>
      <c r="D8" s="71">
        <v>0.01</v>
      </c>
      <c r="E8" s="71">
        <v>0.02</v>
      </c>
      <c r="F8" s="71">
        <v>2.5000000000000001E-2</v>
      </c>
      <c r="G8" s="71">
        <v>0.03</v>
      </c>
      <c r="H8" s="2" t="s">
        <v>836</v>
      </c>
    </row>
    <row r="9" spans="1:8">
      <c r="A9" s="2" t="s">
        <v>837</v>
      </c>
      <c r="B9" s="2" t="s">
        <v>137</v>
      </c>
      <c r="C9" s="71">
        <f>SUM(C6:C8)</f>
        <v>0</v>
      </c>
      <c r="D9" s="71">
        <f>SUM(D6:D8)</f>
        <v>1</v>
      </c>
      <c r="E9" s="71">
        <f>SUM(E6:E8)</f>
        <v>1</v>
      </c>
      <c r="F9" s="71">
        <f>SUM(F6:F8)</f>
        <v>1</v>
      </c>
      <c r="G9" s="71">
        <f>SUM(G6:G8)</f>
        <v>1</v>
      </c>
      <c r="H9" s="2" t="s">
        <v>838</v>
      </c>
    </row>
    <row r="10" spans="1:8" ht="27.75" customHeight="1">
      <c r="A10" s="74" t="s">
        <v>839</v>
      </c>
      <c r="B10" s="74"/>
      <c r="C10" s="76"/>
      <c r="D10" s="76"/>
      <c r="E10" s="76"/>
      <c r="F10" s="76"/>
      <c r="G10" s="76"/>
      <c r="H10" s="74" t="s">
        <v>840</v>
      </c>
    </row>
    <row r="11" spans="1:8" ht="27.75" customHeight="1">
      <c r="A11" s="2" t="s">
        <v>841</v>
      </c>
      <c r="B11" s="2" t="s">
        <v>137</v>
      </c>
      <c r="C11" s="71">
        <v>0</v>
      </c>
      <c r="D11" s="71">
        <v>0.02</v>
      </c>
      <c r="E11" s="71">
        <v>2.1999999999999999E-2</v>
      </c>
      <c r="F11" s="71">
        <v>2.4E-2</v>
      </c>
      <c r="G11" s="71">
        <v>2.5999999999999999E-2</v>
      </c>
      <c r="H11" s="2" t="s">
        <v>842</v>
      </c>
    </row>
    <row r="12" spans="1:8" ht="27.75" customHeight="1">
      <c r="A12" s="2" t="s">
        <v>843</v>
      </c>
      <c r="B12" s="2" t="s">
        <v>137</v>
      </c>
      <c r="C12" s="71">
        <v>0</v>
      </c>
      <c r="D12" s="71">
        <v>0.15</v>
      </c>
      <c r="E12" s="71">
        <v>0.17</v>
      </c>
      <c r="F12" s="71">
        <v>0.18</v>
      </c>
      <c r="G12" s="71">
        <v>0.19</v>
      </c>
      <c r="H12" s="2" t="s">
        <v>844</v>
      </c>
    </row>
    <row r="13" spans="1:8" ht="27.75" customHeight="1">
      <c r="A13" s="2" t="s">
        <v>845</v>
      </c>
      <c r="B13" s="2" t="s">
        <v>137</v>
      </c>
      <c r="C13" s="113">
        <v>0</v>
      </c>
      <c r="D13" s="113">
        <v>1</v>
      </c>
      <c r="E13" s="113">
        <v>1</v>
      </c>
      <c r="F13" s="113">
        <v>1</v>
      </c>
      <c r="G13" s="113">
        <v>1</v>
      </c>
      <c r="H13" s="2" t="s">
        <v>846</v>
      </c>
    </row>
    <row r="14" spans="1:8" ht="27.75" customHeight="1">
      <c r="A14" s="2" t="s">
        <v>847</v>
      </c>
      <c r="B14" s="2" t="s">
        <v>137</v>
      </c>
      <c r="C14" s="71">
        <v>0</v>
      </c>
      <c r="D14" s="71">
        <v>0.45</v>
      </c>
      <c r="E14" s="71">
        <v>0.45</v>
      </c>
      <c r="F14" s="71">
        <v>0.45</v>
      </c>
      <c r="G14" s="71">
        <v>0.45</v>
      </c>
      <c r="H14" s="2" t="s">
        <v>848</v>
      </c>
    </row>
    <row r="15" spans="1:8" ht="27.75" customHeight="1">
      <c r="A15" s="74" t="s">
        <v>849</v>
      </c>
      <c r="B15" s="74" t="s">
        <v>137</v>
      </c>
      <c r="C15" s="76">
        <v>0</v>
      </c>
      <c r="D15" s="76">
        <v>0.5</v>
      </c>
      <c r="E15" s="76">
        <v>0.5</v>
      </c>
      <c r="F15" s="76">
        <v>0.5</v>
      </c>
      <c r="G15" s="76">
        <v>0.5</v>
      </c>
      <c r="H15" s="74" t="s">
        <v>850</v>
      </c>
    </row>
    <row r="16" spans="1:8">
      <c r="A16" s="2" t="s">
        <v>851</v>
      </c>
      <c r="B16" s="2" t="s">
        <v>137</v>
      </c>
      <c r="C16" s="71">
        <v>0</v>
      </c>
      <c r="D16" s="71">
        <v>0.65</v>
      </c>
      <c r="E16" s="71">
        <v>0.65</v>
      </c>
      <c r="F16" s="71">
        <v>0.65</v>
      </c>
      <c r="G16" s="71">
        <v>0.65</v>
      </c>
      <c r="H16" s="2" t="s">
        <v>852</v>
      </c>
    </row>
    <row r="17" spans="1:8" ht="27.75" customHeight="1">
      <c r="A17" s="2" t="s">
        <v>853</v>
      </c>
      <c r="B17" s="2" t="s">
        <v>854</v>
      </c>
      <c r="C17" s="71">
        <v>0</v>
      </c>
      <c r="D17" s="71">
        <v>1.05</v>
      </c>
      <c r="E17" s="71">
        <v>1.08</v>
      </c>
      <c r="F17" s="71">
        <v>1.1000000000000001</v>
      </c>
      <c r="G17" s="71">
        <v>1.1200000000000001</v>
      </c>
      <c r="H17" s="2" t="s">
        <v>855</v>
      </c>
    </row>
    <row r="18" spans="1:8" ht="30">
      <c r="A18" s="74" t="s">
        <v>856</v>
      </c>
      <c r="B18" s="74"/>
      <c r="C18" s="76"/>
      <c r="D18" s="76"/>
      <c r="E18" s="76"/>
      <c r="F18" s="76"/>
      <c r="G18" s="76"/>
      <c r="H18" s="74" t="s">
        <v>857</v>
      </c>
    </row>
    <row r="19" spans="1:8" ht="27.75" customHeight="1">
      <c r="A19" s="2" t="s">
        <v>858</v>
      </c>
      <c r="B19" s="2" t="s">
        <v>137</v>
      </c>
      <c r="C19" s="71">
        <v>0</v>
      </c>
      <c r="D19" s="71">
        <v>0</v>
      </c>
      <c r="E19" s="71">
        <v>0</v>
      </c>
      <c r="F19" s="71">
        <v>0</v>
      </c>
      <c r="G19" s="71">
        <v>0</v>
      </c>
      <c r="H19" s="2" t="s">
        <v>859</v>
      </c>
    </row>
    <row r="20" spans="1:8" ht="27.75" customHeight="1">
      <c r="A20" s="2" t="s">
        <v>860</v>
      </c>
      <c r="B20" s="2" t="s">
        <v>861</v>
      </c>
      <c r="C20" s="71">
        <v>0</v>
      </c>
      <c r="D20" s="71">
        <v>0</v>
      </c>
      <c r="E20" s="71">
        <v>0</v>
      </c>
      <c r="F20" s="71">
        <v>0</v>
      </c>
      <c r="G20" s="71">
        <v>0</v>
      </c>
      <c r="H20" s="2" t="s">
        <v>862</v>
      </c>
    </row>
    <row r="21" spans="1:8" ht="28.5">
      <c r="A21" s="2" t="s">
        <v>863</v>
      </c>
      <c r="B21" s="2"/>
      <c r="C21" s="71"/>
      <c r="D21" s="71"/>
      <c r="E21" s="71"/>
      <c r="F21" s="71"/>
      <c r="G21" s="71"/>
      <c r="H21" s="2" t="s">
        <v>864</v>
      </c>
    </row>
    <row r="22" spans="1:8" ht="28.5">
      <c r="A22" s="2" t="s">
        <v>865</v>
      </c>
      <c r="B22" s="2" t="s">
        <v>831</v>
      </c>
      <c r="C22" s="71">
        <v>0</v>
      </c>
      <c r="D22" s="71">
        <v>0.1</v>
      </c>
      <c r="E22" s="71">
        <v>0.12</v>
      </c>
      <c r="F22" s="71">
        <v>0.14000000000000001</v>
      </c>
      <c r="G22" s="71">
        <v>0.15</v>
      </c>
      <c r="H22" s="2" t="s">
        <v>866</v>
      </c>
    </row>
    <row r="23" spans="1:8" ht="27.75" customHeight="1">
      <c r="A23" s="74" t="s">
        <v>867</v>
      </c>
      <c r="B23" s="74" t="s">
        <v>137</v>
      </c>
      <c r="C23" s="76">
        <v>0</v>
      </c>
      <c r="D23" s="76">
        <v>0.5</v>
      </c>
      <c r="E23" s="76">
        <v>0.5</v>
      </c>
      <c r="F23" s="76">
        <v>0.5</v>
      </c>
      <c r="G23" s="76">
        <v>0.5</v>
      </c>
      <c r="H23" s="74" t="s">
        <v>868</v>
      </c>
    </row>
    <row r="24" spans="1:8" ht="27.75" customHeight="1">
      <c r="A24" s="2" t="s">
        <v>869</v>
      </c>
      <c r="B24" s="2" t="s">
        <v>137</v>
      </c>
      <c r="C24" s="71">
        <v>0</v>
      </c>
      <c r="D24" s="71">
        <v>0.02</v>
      </c>
      <c r="E24" s="71">
        <v>2.1999999999999999E-2</v>
      </c>
      <c r="F24" s="71">
        <v>2.4E-2</v>
      </c>
      <c r="G24" s="71">
        <v>2.5999999999999999E-2</v>
      </c>
      <c r="H24" s="2" t="s">
        <v>870</v>
      </c>
    </row>
    <row r="25" spans="1:8">
      <c r="A25" s="2" t="s">
        <v>871</v>
      </c>
      <c r="B25" s="2" t="s">
        <v>137</v>
      </c>
      <c r="C25" s="71">
        <v>0</v>
      </c>
      <c r="D25" s="71">
        <v>0.45</v>
      </c>
      <c r="E25" s="71">
        <v>0.45</v>
      </c>
      <c r="F25" s="71">
        <v>0.45</v>
      </c>
      <c r="G25" s="71">
        <v>0.45</v>
      </c>
      <c r="H25" s="2" t="s">
        <v>872</v>
      </c>
    </row>
    <row r="26" spans="1:8" ht="28.5">
      <c r="A26" s="2" t="s">
        <v>873</v>
      </c>
      <c r="B26" s="2"/>
      <c r="C26" s="71"/>
      <c r="D26" s="71"/>
      <c r="E26" s="71"/>
      <c r="F26" s="71"/>
      <c r="G26" s="71"/>
      <c r="H26" s="2" t="s">
        <v>874</v>
      </c>
    </row>
    <row r="27" spans="1:8" ht="27.75" customHeight="1">
      <c r="A27" s="2" t="s">
        <v>875</v>
      </c>
      <c r="B27" s="2" t="s">
        <v>876</v>
      </c>
      <c r="C27" s="71">
        <v>0</v>
      </c>
      <c r="D27" s="71">
        <v>0.7</v>
      </c>
      <c r="E27" s="71">
        <v>0.68</v>
      </c>
      <c r="F27" s="71">
        <v>0.65</v>
      </c>
      <c r="G27" s="71">
        <v>0.62</v>
      </c>
      <c r="H27" s="2" t="s">
        <v>877</v>
      </c>
    </row>
    <row r="28" spans="1:8" ht="27.75" customHeight="1">
      <c r="A28" s="2" t="s">
        <v>878</v>
      </c>
      <c r="B28" s="2" t="s">
        <v>876</v>
      </c>
      <c r="C28" s="71">
        <v>0</v>
      </c>
      <c r="D28" s="71">
        <v>0.2</v>
      </c>
      <c r="E28" s="71">
        <v>0.22</v>
      </c>
      <c r="F28" s="71">
        <v>0.25</v>
      </c>
      <c r="G28" s="71">
        <v>0.28000000000000003</v>
      </c>
      <c r="H28" s="2" t="s">
        <v>879</v>
      </c>
    </row>
    <row r="29" spans="1:8" ht="27.75" customHeight="1">
      <c r="A29" s="74" t="s">
        <v>880</v>
      </c>
      <c r="B29" s="74" t="s">
        <v>876</v>
      </c>
      <c r="C29" s="114">
        <v>0</v>
      </c>
      <c r="D29" s="114">
        <v>0.1</v>
      </c>
      <c r="E29" s="114">
        <v>0.1</v>
      </c>
      <c r="F29" s="114">
        <v>0.1</v>
      </c>
      <c r="G29" s="114">
        <v>0.1</v>
      </c>
      <c r="H29" s="74" t="s">
        <v>881</v>
      </c>
    </row>
    <row r="30" spans="1:8">
      <c r="A30" s="2" t="s">
        <v>882</v>
      </c>
      <c r="B30" s="2" t="s">
        <v>137</v>
      </c>
      <c r="C30" s="115">
        <f>SUM(C27:C29)</f>
        <v>0</v>
      </c>
      <c r="D30" s="115">
        <f>SUM(D27:D29)</f>
        <v>0.99999999999999989</v>
      </c>
      <c r="E30" s="115">
        <f>SUM(E27:E29)</f>
        <v>1</v>
      </c>
      <c r="F30" s="115">
        <f>SUM(F27:F29)</f>
        <v>1</v>
      </c>
      <c r="G30" s="115">
        <f>SUM(G27:G29)</f>
        <v>1</v>
      </c>
      <c r="H30" s="2" t="s">
        <v>838</v>
      </c>
    </row>
    <row r="31" spans="1:8" ht="28.5">
      <c r="A31" s="2" t="s">
        <v>883</v>
      </c>
      <c r="B31" s="2"/>
      <c r="C31" s="115"/>
      <c r="D31" s="115"/>
      <c r="E31" s="115"/>
      <c r="F31" s="115"/>
      <c r="G31" s="115"/>
      <c r="H31" s="2" t="s">
        <v>884</v>
      </c>
    </row>
    <row r="32" spans="1:8" ht="108" customHeight="1">
      <c r="A32" s="2" t="s">
        <v>885</v>
      </c>
      <c r="B32" s="2" t="s">
        <v>886</v>
      </c>
      <c r="C32" s="2" t="s">
        <v>887</v>
      </c>
      <c r="D32" s="2" t="s">
        <v>888</v>
      </c>
      <c r="E32" s="2" t="s">
        <v>889</v>
      </c>
      <c r="F32" s="2" t="s">
        <v>889</v>
      </c>
      <c r="G32" s="2" t="s">
        <v>889</v>
      </c>
      <c r="H32" s="2" t="s">
        <v>890</v>
      </c>
    </row>
    <row r="33" spans="1:8" ht="108" customHeight="1">
      <c r="A33" s="2" t="s">
        <v>891</v>
      </c>
      <c r="B33" s="2" t="s">
        <v>886</v>
      </c>
      <c r="C33" s="2" t="s">
        <v>887</v>
      </c>
      <c r="D33" s="2" t="s">
        <v>892</v>
      </c>
      <c r="E33" s="2" t="s">
        <v>889</v>
      </c>
      <c r="F33" s="2" t="s">
        <v>889</v>
      </c>
      <c r="G33" s="2" t="s">
        <v>889</v>
      </c>
      <c r="H33" s="2" t="s">
        <v>893</v>
      </c>
    </row>
    <row r="34" spans="1:8" ht="27.75" customHeight="1">
      <c r="A34" s="2" t="s">
        <v>894</v>
      </c>
      <c r="B34" s="2" t="s">
        <v>886</v>
      </c>
      <c r="C34" s="2" t="s">
        <v>895</v>
      </c>
      <c r="D34" s="2" t="s">
        <v>895</v>
      </c>
      <c r="E34" s="2" t="s">
        <v>895</v>
      </c>
      <c r="F34" s="2" t="s">
        <v>895</v>
      </c>
      <c r="G34" s="2" t="s">
        <v>895</v>
      </c>
      <c r="H34" s="2" t="s">
        <v>896</v>
      </c>
    </row>
    <row r="35" spans="1:8">
      <c r="A35" s="2"/>
      <c r="B35" s="2"/>
      <c r="C35" s="2"/>
      <c r="D35" s="2"/>
      <c r="E35" s="2"/>
      <c r="F35" s="2"/>
      <c r="G35" s="2"/>
      <c r="H35" s="2"/>
    </row>
    <row r="36" spans="1:8">
      <c r="A36" s="2"/>
      <c r="B36" s="2"/>
      <c r="C36" s="2"/>
      <c r="D36" s="2"/>
      <c r="E36" s="2"/>
      <c r="F36" s="2"/>
      <c r="G36" s="2"/>
      <c r="H36" s="2"/>
    </row>
    <row r="37" spans="1:8">
      <c r="A37" s="2"/>
      <c r="B37" s="2"/>
      <c r="C37" s="2"/>
      <c r="D37" s="2"/>
      <c r="E37" s="2"/>
      <c r="F37" s="2"/>
      <c r="G37" s="2"/>
      <c r="H37" s="2"/>
    </row>
    <row r="38" spans="1:8">
      <c r="A38" s="2"/>
      <c r="B38" s="2"/>
      <c r="C38" s="2"/>
      <c r="D38" s="2"/>
      <c r="E38" s="2"/>
      <c r="F38" s="2"/>
      <c r="G38" s="2"/>
      <c r="H38" s="2"/>
    </row>
    <row r="39" spans="1:8">
      <c r="A39" s="2"/>
      <c r="B39" s="2"/>
      <c r="C39" s="2"/>
      <c r="D39" s="2"/>
      <c r="E39" s="2"/>
      <c r="F39" s="2"/>
      <c r="G39" s="2"/>
      <c r="H39" s="2"/>
    </row>
    <row r="40" spans="1:8">
      <c r="A40" s="2"/>
      <c r="B40" s="2"/>
      <c r="C40" s="2"/>
      <c r="D40" s="2"/>
      <c r="E40" s="2"/>
      <c r="F40" s="2"/>
      <c r="G40" s="2"/>
      <c r="H40" s="2"/>
    </row>
  </sheetData>
  <mergeCells count="2">
    <mergeCell ref="A2:H2"/>
    <mergeCell ref="A1:H1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H40"/>
  <sheetViews>
    <sheetView workbookViewId="0">
      <selection sqref="A1:XFD1048576"/>
    </sheetView>
  </sheetViews>
  <sheetFormatPr defaultColWidth="8.875" defaultRowHeight="14.25"/>
  <cols>
    <col min="1" max="1" width="38" style="1" customWidth="1"/>
    <col min="2" max="2" width="16" style="1" customWidth="1"/>
    <col min="3" max="7" width="14" style="1" customWidth="1"/>
    <col min="8" max="8" width="45" style="1" customWidth="1"/>
    <col min="9" max="16384" width="8.875" style="1"/>
  </cols>
  <sheetData>
    <row r="1" spans="1:8" ht="27.95" customHeight="1">
      <c r="A1" s="139" t="s">
        <v>897</v>
      </c>
      <c r="B1" s="129"/>
      <c r="C1" s="129"/>
      <c r="D1" s="129"/>
      <c r="E1" s="129"/>
      <c r="F1" s="129"/>
      <c r="G1" s="129"/>
      <c r="H1" s="129"/>
    </row>
    <row r="2" spans="1:8" ht="33.950000000000003" customHeight="1">
      <c r="A2" s="138" t="s">
        <v>898</v>
      </c>
      <c r="B2" s="129"/>
      <c r="C2" s="129"/>
      <c r="D2" s="129"/>
      <c r="E2" s="129"/>
      <c r="F2" s="129"/>
      <c r="G2" s="129"/>
      <c r="H2" s="129"/>
    </row>
    <row r="3" spans="1:8">
      <c r="A3" s="2"/>
      <c r="B3" s="2"/>
      <c r="C3" s="2"/>
      <c r="D3" s="2"/>
      <c r="E3" s="2"/>
      <c r="F3" s="2"/>
      <c r="G3" s="2"/>
      <c r="H3" s="2"/>
    </row>
    <row r="4" spans="1:8" ht="41.25" customHeight="1">
      <c r="A4" s="112" t="s">
        <v>826</v>
      </c>
      <c r="B4" s="112" t="s">
        <v>123</v>
      </c>
      <c r="C4" s="112" t="s">
        <v>224</v>
      </c>
      <c r="D4" s="112" t="s">
        <v>225</v>
      </c>
      <c r="E4" s="112" t="s">
        <v>226</v>
      </c>
      <c r="F4" s="112" t="s">
        <v>227</v>
      </c>
      <c r="G4" s="112" t="s">
        <v>228</v>
      </c>
      <c r="H4" s="112" t="s">
        <v>827</v>
      </c>
    </row>
    <row r="5" spans="1:8">
      <c r="A5" s="2" t="s">
        <v>899</v>
      </c>
      <c r="B5" s="2" t="s">
        <v>207</v>
      </c>
      <c r="C5" s="116">
        <f>Annual_Summary!B11</f>
        <v>0</v>
      </c>
      <c r="D5" s="116">
        <f>Annual_Summary!C11</f>
        <v>10.26</v>
      </c>
      <c r="E5" s="116">
        <f>Annual_Summary!D11</f>
        <v>35</v>
      </c>
      <c r="F5" s="116">
        <f>Annual_Summary!E11</f>
        <v>77</v>
      </c>
      <c r="G5" s="116">
        <f>Annual_Summary!F11</f>
        <v>124.80000000000001</v>
      </c>
      <c r="H5" s="2" t="s">
        <v>900</v>
      </c>
    </row>
    <row r="6" spans="1:8">
      <c r="A6" s="2" t="s">
        <v>901</v>
      </c>
      <c r="B6" s="2" t="s">
        <v>207</v>
      </c>
      <c r="C6" s="116">
        <f>AVERAGE(0,C5)</f>
        <v>0</v>
      </c>
      <c r="D6" s="116">
        <f>AVERAGE(C5,D5)</f>
        <v>5.13</v>
      </c>
      <c r="E6" s="116">
        <f>AVERAGE(D5,E5)</f>
        <v>22.63</v>
      </c>
      <c r="F6" s="116">
        <f>AVERAGE(E5,F5)</f>
        <v>56</v>
      </c>
      <c r="G6" s="116">
        <f>AVERAGE(F5,G5)</f>
        <v>100.9</v>
      </c>
      <c r="H6" s="2" t="s">
        <v>902</v>
      </c>
    </row>
    <row r="7" spans="1:8">
      <c r="A7" s="2" t="s">
        <v>903</v>
      </c>
      <c r="B7" s="2" t="s">
        <v>207</v>
      </c>
      <c r="C7" s="116">
        <f>C5*ECL_Assumptions!C6</f>
        <v>0</v>
      </c>
      <c r="D7" s="116">
        <f>D5*ECL_Assumptions!D6</f>
        <v>9.8495999999999988</v>
      </c>
      <c r="E7" s="116">
        <f>E5*ECL_Assumptions!E6</f>
        <v>32.9</v>
      </c>
      <c r="F7" s="116">
        <f>F5*ECL_Assumptions!F6</f>
        <v>71.61</v>
      </c>
      <c r="G7" s="116">
        <f>G5*ECL_Assumptions!G6</f>
        <v>114.81600000000002</v>
      </c>
      <c r="H7" s="2" t="s">
        <v>904</v>
      </c>
    </row>
    <row r="8" spans="1:8">
      <c r="A8" s="2" t="s">
        <v>905</v>
      </c>
      <c r="B8" s="2" t="s">
        <v>207</v>
      </c>
      <c r="C8" s="116">
        <f>C5*ECL_Assumptions!C7</f>
        <v>0</v>
      </c>
      <c r="D8" s="116">
        <f>D5*ECL_Assumptions!D7</f>
        <v>0.30779999999999996</v>
      </c>
      <c r="E8" s="116">
        <f>E5*ECL_Assumptions!E7</f>
        <v>1.4000000000000001</v>
      </c>
      <c r="F8" s="116">
        <f>F5*ECL_Assumptions!F7</f>
        <v>3.4649999999999999</v>
      </c>
      <c r="G8" s="116">
        <f>G5*ECL_Assumptions!G7</f>
        <v>6.2400000000000011</v>
      </c>
      <c r="H8" s="2" t="s">
        <v>906</v>
      </c>
    </row>
    <row r="9" spans="1:8">
      <c r="A9" s="2" t="s">
        <v>907</v>
      </c>
      <c r="B9" s="2" t="s">
        <v>207</v>
      </c>
      <c r="C9" s="116">
        <f>C5*ECL_Assumptions!C8</f>
        <v>0</v>
      </c>
      <c r="D9" s="116">
        <f>D5*ECL_Assumptions!D8</f>
        <v>0.1026</v>
      </c>
      <c r="E9" s="116">
        <f>E5*ECL_Assumptions!E8</f>
        <v>0.70000000000000007</v>
      </c>
      <c r="F9" s="116">
        <f>F5*ECL_Assumptions!F8</f>
        <v>1.925</v>
      </c>
      <c r="G9" s="116">
        <f>G5*ECL_Assumptions!G8</f>
        <v>3.7440000000000002</v>
      </c>
      <c r="H9" s="2" t="s">
        <v>908</v>
      </c>
    </row>
    <row r="10" spans="1:8">
      <c r="A10" s="2" t="s">
        <v>819</v>
      </c>
      <c r="B10" s="2" t="s">
        <v>207</v>
      </c>
      <c r="C10" s="116">
        <f>SUM(C7:C9)-C5</f>
        <v>0</v>
      </c>
      <c r="D10" s="116">
        <f>SUM(D7:D9)-D5</f>
        <v>0</v>
      </c>
      <c r="E10" s="116">
        <f>SUM(E7:E9)-E5</f>
        <v>0</v>
      </c>
      <c r="F10" s="116">
        <f>SUM(F7:F9)-F5</f>
        <v>0</v>
      </c>
      <c r="G10" s="116">
        <f>SUM(G7:G9)-G5</f>
        <v>0</v>
      </c>
      <c r="H10" s="2" t="s">
        <v>730</v>
      </c>
    </row>
    <row r="11" spans="1:8" ht="30">
      <c r="A11" s="74" t="s">
        <v>909</v>
      </c>
      <c r="B11" s="74"/>
      <c r="C11" s="117"/>
      <c r="D11" s="117"/>
      <c r="E11" s="117"/>
      <c r="F11" s="117"/>
      <c r="G11" s="117"/>
      <c r="H11" s="74" t="s">
        <v>910</v>
      </c>
    </row>
    <row r="12" spans="1:8" ht="27.75" customHeight="1">
      <c r="A12" s="2" t="s">
        <v>911</v>
      </c>
      <c r="B12" s="2" t="s">
        <v>207</v>
      </c>
      <c r="C12" s="116">
        <f>C7*ECL_Assumptions!C11*ECL_Assumptions!C14*ECL_Assumptions!C17</f>
        <v>0</v>
      </c>
      <c r="D12" s="116">
        <f>D7*ECL_Assumptions!D11*ECL_Assumptions!D14*ECL_Assumptions!D17</f>
        <v>9.307871999999999E-2</v>
      </c>
      <c r="E12" s="116">
        <f>E7*ECL_Assumptions!E11*ECL_Assumptions!E14*ECL_Assumptions!E17</f>
        <v>0.35176679999999994</v>
      </c>
      <c r="F12" s="116">
        <f>F7*ECL_Assumptions!F11*ECL_Assumptions!F14*ECL_Assumptions!F17</f>
        <v>0.85072680000000001</v>
      </c>
      <c r="G12" s="116">
        <f>G7*ECL_Assumptions!G11*ECL_Assumptions!G14*ECL_Assumptions!G17</f>
        <v>1.5045488640000004</v>
      </c>
      <c r="H12" s="2" t="s">
        <v>912</v>
      </c>
    </row>
    <row r="13" spans="1:8" ht="27.75" customHeight="1">
      <c r="A13" s="2" t="s">
        <v>913</v>
      </c>
      <c r="B13" s="2" t="s">
        <v>207</v>
      </c>
      <c r="C13" s="116">
        <f>C8*ECL_Assumptions!C12*ECL_Assumptions!C15*ECL_Assumptions!C17</f>
        <v>0</v>
      </c>
      <c r="D13" s="116">
        <f>D8*ECL_Assumptions!D12*ECL_Assumptions!D15*ECL_Assumptions!D17</f>
        <v>2.423925E-2</v>
      </c>
      <c r="E13" s="116">
        <f>E8*ECL_Assumptions!E12*ECL_Assumptions!E15*ECL_Assumptions!E17</f>
        <v>0.12852000000000002</v>
      </c>
      <c r="F13" s="116">
        <f>F8*ECL_Assumptions!F12*ECL_Assumptions!F15*ECL_Assumptions!F17</f>
        <v>0.34303499999999998</v>
      </c>
      <c r="G13" s="116">
        <f>G8*ECL_Assumptions!G12*ECL_Assumptions!G15*ECL_Assumptions!G17</f>
        <v>0.66393600000000019</v>
      </c>
      <c r="H13" s="2" t="s">
        <v>684</v>
      </c>
    </row>
    <row r="14" spans="1:8">
      <c r="A14" s="2" t="s">
        <v>914</v>
      </c>
      <c r="B14" s="2" t="s">
        <v>207</v>
      </c>
      <c r="C14" s="116">
        <f>C9*ECL_Assumptions!C13*ECL_Assumptions!C16*ECL_Assumptions!C17</f>
        <v>0</v>
      </c>
      <c r="D14" s="116">
        <f>D9*ECL_Assumptions!D13*ECL_Assumptions!D16*ECL_Assumptions!D17</f>
        <v>7.0024500000000003E-2</v>
      </c>
      <c r="E14" s="116">
        <f>E9*ECL_Assumptions!E13*ECL_Assumptions!E16*ECL_Assumptions!E17</f>
        <v>0.49140000000000011</v>
      </c>
      <c r="F14" s="116">
        <f>F9*ECL_Assumptions!F13*ECL_Assumptions!F16*ECL_Assumptions!F17</f>
        <v>1.3763750000000001</v>
      </c>
      <c r="G14" s="116">
        <f>G9*ECL_Assumptions!G13*ECL_Assumptions!G16*ECL_Assumptions!G17</f>
        <v>2.7256320000000005</v>
      </c>
      <c r="H14" s="2" t="s">
        <v>915</v>
      </c>
    </row>
    <row r="15" spans="1:8">
      <c r="A15" s="2" t="s">
        <v>687</v>
      </c>
      <c r="B15" s="2" t="s">
        <v>207</v>
      </c>
      <c r="C15" s="116">
        <f>SUM(C12:C14)</f>
        <v>0</v>
      </c>
      <c r="D15" s="116">
        <f>SUM(D12:D14)</f>
        <v>0.18734246999999998</v>
      </c>
      <c r="E15" s="116">
        <f>SUM(E12:E14)</f>
        <v>0.97168680000000007</v>
      </c>
      <c r="F15" s="116">
        <f>SUM(F12:F14)</f>
        <v>2.5701368000000002</v>
      </c>
      <c r="G15" s="116">
        <f>SUM(G12:G14)</f>
        <v>4.8941168640000008</v>
      </c>
      <c r="H15" s="2" t="s">
        <v>688</v>
      </c>
    </row>
    <row r="16" spans="1:8">
      <c r="A16" s="2" t="s">
        <v>916</v>
      </c>
      <c r="B16" s="2" t="s">
        <v>207</v>
      </c>
      <c r="C16" s="116">
        <v>0</v>
      </c>
      <c r="D16" s="116">
        <f>C15</f>
        <v>0</v>
      </c>
      <c r="E16" s="116">
        <f>D15</f>
        <v>0.18734246999999998</v>
      </c>
      <c r="F16" s="116">
        <f>E15</f>
        <v>0.97168680000000007</v>
      </c>
      <c r="G16" s="116">
        <f>F15</f>
        <v>2.5701368000000002</v>
      </c>
      <c r="H16" s="2" t="s">
        <v>917</v>
      </c>
    </row>
    <row r="17" spans="1:8" ht="27.75" customHeight="1">
      <c r="A17" s="2" t="s">
        <v>918</v>
      </c>
      <c r="B17" s="2" t="s">
        <v>207</v>
      </c>
      <c r="C17" s="116">
        <f>C14*ECL_Assumptions!C19</f>
        <v>0</v>
      </c>
      <c r="D17" s="116">
        <f>D14*ECL_Assumptions!D19</f>
        <v>0</v>
      </c>
      <c r="E17" s="116">
        <f>E14*ECL_Assumptions!E19</f>
        <v>0</v>
      </c>
      <c r="F17" s="116">
        <f>F14*ECL_Assumptions!F19</f>
        <v>0</v>
      </c>
      <c r="G17" s="116">
        <f>G14*ECL_Assumptions!G19</f>
        <v>0</v>
      </c>
      <c r="H17" s="2" t="s">
        <v>919</v>
      </c>
    </row>
    <row r="18" spans="1:8">
      <c r="A18" s="2" t="s">
        <v>920</v>
      </c>
      <c r="B18" s="2" t="s">
        <v>207</v>
      </c>
      <c r="C18" s="116">
        <f>C17*ECL_Assumptions!C20</f>
        <v>0</v>
      </c>
      <c r="D18" s="116">
        <f>D17*ECL_Assumptions!D20</f>
        <v>0</v>
      </c>
      <c r="E18" s="116">
        <f>E17*ECL_Assumptions!E20</f>
        <v>0</v>
      </c>
      <c r="F18" s="116">
        <f>F17*ECL_Assumptions!F20</f>
        <v>0</v>
      </c>
      <c r="G18" s="116">
        <f>G17*ECL_Assumptions!G20</f>
        <v>0</v>
      </c>
      <c r="H18" s="2" t="s">
        <v>921</v>
      </c>
    </row>
    <row r="19" spans="1:8" ht="28.5">
      <c r="A19" s="2" t="s">
        <v>922</v>
      </c>
      <c r="B19" s="2" t="s">
        <v>207</v>
      </c>
      <c r="C19" s="116">
        <f>MAX(0,C15-C16+C17-C18)</f>
        <v>0</v>
      </c>
      <c r="D19" s="116">
        <f>MAX(0,D15-D16+D17-D18)</f>
        <v>0.18734246999999998</v>
      </c>
      <c r="E19" s="116">
        <f>MAX(0,E15-E16+E17-E18)</f>
        <v>0.78434433000000015</v>
      </c>
      <c r="F19" s="116">
        <f>MAX(0,F15-F16+F17-F18)</f>
        <v>1.5984500000000001</v>
      </c>
      <c r="G19" s="116">
        <f>MAX(0,G15-G16+G17-G18)</f>
        <v>2.3239800640000006</v>
      </c>
      <c r="H19" s="2" t="s">
        <v>923</v>
      </c>
    </row>
    <row r="20" spans="1:8" ht="28.5">
      <c r="A20" s="2" t="s">
        <v>924</v>
      </c>
      <c r="B20" s="2"/>
      <c r="C20" s="116"/>
      <c r="D20" s="116"/>
      <c r="E20" s="116"/>
      <c r="F20" s="116"/>
      <c r="G20" s="116"/>
      <c r="H20" s="2" t="s">
        <v>925</v>
      </c>
    </row>
    <row r="21" spans="1:8" ht="30">
      <c r="A21" s="74" t="s">
        <v>926</v>
      </c>
      <c r="B21" s="74" t="s">
        <v>207</v>
      </c>
      <c r="C21" s="117">
        <f>C5*ECL_Assumptions!C22</f>
        <v>0</v>
      </c>
      <c r="D21" s="117">
        <f>D5*ECL_Assumptions!D22</f>
        <v>1.026</v>
      </c>
      <c r="E21" s="117">
        <f>E5*ECL_Assumptions!E22</f>
        <v>4.2</v>
      </c>
      <c r="F21" s="117">
        <f>F5*ECL_Assumptions!F22</f>
        <v>10.780000000000001</v>
      </c>
      <c r="G21" s="117">
        <f>G5*ECL_Assumptions!G22</f>
        <v>18.720000000000002</v>
      </c>
      <c r="H21" s="74" t="s">
        <v>927</v>
      </c>
    </row>
    <row r="22" spans="1:8">
      <c r="A22" s="2" t="s">
        <v>928</v>
      </c>
      <c r="B22" s="2" t="s">
        <v>207</v>
      </c>
      <c r="C22" s="116">
        <f>C21*ECL_Assumptions!C23</f>
        <v>0</v>
      </c>
      <c r="D22" s="116">
        <f>D21*ECL_Assumptions!D23</f>
        <v>0.51300000000000001</v>
      </c>
      <c r="E22" s="116">
        <f>E21*ECL_Assumptions!E23</f>
        <v>2.1</v>
      </c>
      <c r="F22" s="116">
        <f>F21*ECL_Assumptions!F23</f>
        <v>5.3900000000000006</v>
      </c>
      <c r="G22" s="116">
        <f>G21*ECL_Assumptions!G23</f>
        <v>9.3600000000000012</v>
      </c>
      <c r="H22" s="2" t="s">
        <v>929</v>
      </c>
    </row>
    <row r="23" spans="1:8" ht="27.75" customHeight="1">
      <c r="A23" s="2" t="s">
        <v>689</v>
      </c>
      <c r="B23" s="2" t="s">
        <v>207</v>
      </c>
      <c r="C23" s="116">
        <f>C22*ECL_Assumptions!C24*ECL_Assumptions!C25*ECL_Assumptions!C17</f>
        <v>0</v>
      </c>
      <c r="D23" s="116">
        <f>D22*ECL_Assumptions!D24*ECL_Assumptions!D25*ECL_Assumptions!D17</f>
        <v>4.8478500000000008E-3</v>
      </c>
      <c r="E23" s="116">
        <f>E22*ECL_Assumptions!E24*ECL_Assumptions!E25*ECL_Assumptions!E17</f>
        <v>2.24532E-2</v>
      </c>
      <c r="F23" s="116">
        <f>F22*ECL_Assumptions!F24*ECL_Assumptions!F25*ECL_Assumptions!F17</f>
        <v>6.4033199999999998E-2</v>
      </c>
      <c r="G23" s="116">
        <f>G22*ECL_Assumptions!G24*ECL_Assumptions!G25*ECL_Assumptions!G17</f>
        <v>0.12265344000000003</v>
      </c>
      <c r="H23" s="2" t="s">
        <v>930</v>
      </c>
    </row>
    <row r="24" spans="1:8">
      <c r="A24" s="2" t="s">
        <v>931</v>
      </c>
      <c r="B24" s="2" t="s">
        <v>207</v>
      </c>
      <c r="C24" s="116">
        <v>0</v>
      </c>
      <c r="D24" s="116">
        <f>C23</f>
        <v>0</v>
      </c>
      <c r="E24" s="116">
        <f>D23</f>
        <v>4.8478500000000008E-3</v>
      </c>
      <c r="F24" s="116">
        <f>E23</f>
        <v>2.24532E-2</v>
      </c>
      <c r="G24" s="116">
        <f>F23</f>
        <v>6.4033199999999998E-2</v>
      </c>
      <c r="H24" s="2" t="s">
        <v>932</v>
      </c>
    </row>
    <row r="25" spans="1:8">
      <c r="A25" s="2" t="s">
        <v>933</v>
      </c>
      <c r="B25" s="2" t="s">
        <v>207</v>
      </c>
      <c r="C25" s="116">
        <f>MAX(0,C23-C24)</f>
        <v>0</v>
      </c>
      <c r="D25" s="116">
        <f>MAX(0,D23-D24)</f>
        <v>4.8478500000000008E-3</v>
      </c>
      <c r="E25" s="116">
        <f>MAX(0,E23-E24)</f>
        <v>1.7605349999999999E-2</v>
      </c>
      <c r="F25" s="116">
        <f>MAX(0,F23-F24)</f>
        <v>4.1579999999999999E-2</v>
      </c>
      <c r="G25" s="116">
        <f>MAX(0,G23-G24)</f>
        <v>5.8620240000000032E-2</v>
      </c>
      <c r="H25" s="2" t="s">
        <v>934</v>
      </c>
    </row>
    <row r="26" spans="1:8">
      <c r="A26" s="2" t="s">
        <v>935</v>
      </c>
      <c r="B26" s="2" t="s">
        <v>207</v>
      </c>
      <c r="C26" s="116">
        <f>C19+C25</f>
        <v>0</v>
      </c>
      <c r="D26" s="116">
        <f>D19+D25</f>
        <v>0.19219031999999997</v>
      </c>
      <c r="E26" s="116">
        <f>E19+E25</f>
        <v>0.80194968000000011</v>
      </c>
      <c r="F26" s="116">
        <f>F19+F25</f>
        <v>1.6400300000000001</v>
      </c>
      <c r="G26" s="116">
        <f>G19+G25</f>
        <v>2.3826003040000008</v>
      </c>
      <c r="H26" s="2" t="s">
        <v>936</v>
      </c>
    </row>
    <row r="27" spans="1:8">
      <c r="A27" s="2" t="s">
        <v>937</v>
      </c>
      <c r="B27" s="2" t="s">
        <v>137</v>
      </c>
      <c r="C27" s="71">
        <f>IFERROR(C15/C9,0)</f>
        <v>0</v>
      </c>
      <c r="D27" s="71">
        <f>IFERROR(D15/D9,0)</f>
        <v>1.82595</v>
      </c>
      <c r="E27" s="71">
        <f>IFERROR(E15/E9,0)</f>
        <v>1.3881239999999999</v>
      </c>
      <c r="F27" s="71">
        <f>IFERROR(F15/F9,0)</f>
        <v>1.3351360000000001</v>
      </c>
      <c r="G27" s="71">
        <f>IFERROR(G15/G9,0)</f>
        <v>1.3071893333333335</v>
      </c>
      <c r="H27" s="2" t="s">
        <v>938</v>
      </c>
    </row>
    <row r="28" spans="1:8">
      <c r="A28" s="2" t="s">
        <v>939</v>
      </c>
      <c r="B28" s="2" t="s">
        <v>137</v>
      </c>
      <c r="C28" s="71">
        <f>IFERROR(C9/C5,0)</f>
        <v>0</v>
      </c>
      <c r="D28" s="71">
        <f>IFERROR(D9/D5,0)</f>
        <v>0.01</v>
      </c>
      <c r="E28" s="71">
        <f>IFERROR(E9/E5,0)</f>
        <v>0.02</v>
      </c>
      <c r="F28" s="71">
        <f>IFERROR(F9/F5,0)</f>
        <v>2.5000000000000001E-2</v>
      </c>
      <c r="G28" s="71">
        <f>IFERROR(G9/G5,0)</f>
        <v>0.03</v>
      </c>
      <c r="H28" s="2" t="s">
        <v>940</v>
      </c>
    </row>
    <row r="29" spans="1:8">
      <c r="A29" s="2" t="s">
        <v>691</v>
      </c>
      <c r="B29" s="2" t="s">
        <v>137</v>
      </c>
      <c r="C29" s="71">
        <f>IFERROR(C26/C6,0)</f>
        <v>0</v>
      </c>
      <c r="D29" s="71">
        <f>IFERROR(D26/D6,0)</f>
        <v>3.7463999999999997E-2</v>
      </c>
      <c r="E29" s="71">
        <f>IFERROR(E26/E6,0)</f>
        <v>3.5437458241272653E-2</v>
      </c>
      <c r="F29" s="71">
        <f>IFERROR(F26/F6,0)</f>
        <v>2.9286250000000003E-2</v>
      </c>
      <c r="G29" s="71">
        <f>IFERROR(G26/G6,0)</f>
        <v>2.3613481704658084E-2</v>
      </c>
      <c r="H29" s="2" t="s">
        <v>941</v>
      </c>
    </row>
    <row r="30" spans="1:8">
      <c r="A30" s="2" t="s">
        <v>942</v>
      </c>
      <c r="B30" s="2" t="s">
        <v>805</v>
      </c>
      <c r="C30" s="116" t="s">
        <v>412</v>
      </c>
      <c r="D30" s="116" t="s">
        <v>412</v>
      </c>
      <c r="E30" s="116" t="s">
        <v>412</v>
      </c>
      <c r="F30" s="116" t="s">
        <v>412</v>
      </c>
      <c r="G30" s="116" t="s">
        <v>412</v>
      </c>
      <c r="H30" s="2" t="s">
        <v>943</v>
      </c>
    </row>
    <row r="31" spans="1:8">
      <c r="A31" s="2"/>
      <c r="B31" s="2"/>
      <c r="C31" s="2"/>
      <c r="D31" s="2"/>
      <c r="E31" s="2"/>
      <c r="F31" s="2"/>
      <c r="G31" s="2"/>
      <c r="H31" s="2"/>
    </row>
    <row r="32" spans="1:8">
      <c r="A32" s="2"/>
      <c r="B32" s="2"/>
      <c r="C32" s="2"/>
      <c r="D32" s="2"/>
      <c r="E32" s="2"/>
      <c r="F32" s="2"/>
      <c r="G32" s="2"/>
      <c r="H32" s="2"/>
    </row>
    <row r="33" spans="1:8">
      <c r="A33" s="2"/>
      <c r="B33" s="2"/>
      <c r="C33" s="2"/>
      <c r="D33" s="2"/>
      <c r="E33" s="2"/>
      <c r="F33" s="2"/>
      <c r="G33" s="2"/>
      <c r="H33" s="2"/>
    </row>
    <row r="34" spans="1:8">
      <c r="A34" s="2"/>
      <c r="B34" s="2"/>
      <c r="C34" s="2"/>
      <c r="D34" s="2"/>
      <c r="E34" s="2"/>
      <c r="F34" s="2"/>
      <c r="G34" s="2"/>
      <c r="H34" s="2"/>
    </row>
    <row r="35" spans="1:8">
      <c r="A35" s="2"/>
      <c r="B35" s="2"/>
      <c r="C35" s="2"/>
      <c r="D35" s="2"/>
      <c r="E35" s="2"/>
      <c r="F35" s="2"/>
      <c r="G35" s="2"/>
      <c r="H35" s="2"/>
    </row>
    <row r="36" spans="1:8">
      <c r="A36" s="2"/>
      <c r="B36" s="2"/>
      <c r="C36" s="2"/>
      <c r="D36" s="2"/>
      <c r="E36" s="2"/>
      <c r="F36" s="2"/>
      <c r="G36" s="2"/>
      <c r="H36" s="2"/>
    </row>
    <row r="37" spans="1:8">
      <c r="A37" s="2"/>
      <c r="B37" s="2"/>
      <c r="C37" s="2"/>
      <c r="D37" s="2"/>
      <c r="E37" s="2"/>
      <c r="F37" s="2"/>
      <c r="G37" s="2"/>
      <c r="H37" s="2"/>
    </row>
    <row r="38" spans="1:8">
      <c r="A38" s="2"/>
      <c r="B38" s="2"/>
      <c r="C38" s="2"/>
      <c r="D38" s="2"/>
      <c r="E38" s="2"/>
      <c r="F38" s="2"/>
      <c r="G38" s="2"/>
      <c r="H38" s="2"/>
    </row>
    <row r="39" spans="1:8">
      <c r="A39" s="2"/>
      <c r="B39" s="2"/>
      <c r="C39" s="2"/>
      <c r="D39" s="2"/>
      <c r="E39" s="2"/>
      <c r="F39" s="2"/>
      <c r="G39" s="2"/>
      <c r="H39" s="2"/>
    </row>
    <row r="40" spans="1:8">
      <c r="A40" s="2"/>
      <c r="B40" s="2"/>
      <c r="C40" s="2"/>
      <c r="D40" s="2"/>
      <c r="E40" s="2"/>
      <c r="F40" s="2"/>
      <c r="G40" s="2"/>
      <c r="H40" s="2"/>
    </row>
  </sheetData>
  <mergeCells count="2">
    <mergeCell ref="A2:H2"/>
    <mergeCell ref="A1:H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H40"/>
  <sheetViews>
    <sheetView workbookViewId="0">
      <selection sqref="A1:XFD1048576"/>
    </sheetView>
  </sheetViews>
  <sheetFormatPr defaultColWidth="8.875" defaultRowHeight="14.25"/>
  <cols>
    <col min="1" max="1" width="28" style="1" customWidth="1"/>
    <col min="2" max="2" width="34" style="1" customWidth="1"/>
    <col min="3" max="7" width="14" style="1" customWidth="1"/>
    <col min="8" max="8" width="45" style="1" customWidth="1"/>
    <col min="9" max="16384" width="8.875" style="1"/>
  </cols>
  <sheetData>
    <row r="1" spans="1:8" ht="27.95" customHeight="1">
      <c r="A1" s="139" t="s">
        <v>944</v>
      </c>
      <c r="B1" s="129"/>
      <c r="C1" s="129"/>
      <c r="D1" s="129"/>
      <c r="E1" s="129"/>
      <c r="F1" s="129"/>
      <c r="G1" s="129"/>
      <c r="H1" s="129"/>
    </row>
    <row r="2" spans="1:8" ht="33.950000000000003" customHeight="1">
      <c r="A2" s="138" t="s">
        <v>945</v>
      </c>
      <c r="B2" s="129"/>
      <c r="C2" s="129"/>
      <c r="D2" s="129"/>
      <c r="E2" s="129"/>
      <c r="F2" s="129"/>
      <c r="G2" s="129"/>
      <c r="H2" s="129"/>
    </row>
    <row r="3" spans="1:8">
      <c r="A3" s="2"/>
      <c r="B3" s="2"/>
      <c r="C3" s="2"/>
      <c r="D3" s="2"/>
      <c r="E3" s="2"/>
      <c r="F3" s="2"/>
      <c r="G3" s="2"/>
      <c r="H3" s="2"/>
    </row>
    <row r="4" spans="1:8" ht="41.25" customHeight="1">
      <c r="A4" s="112" t="s">
        <v>368</v>
      </c>
      <c r="B4" s="112" t="s">
        <v>946</v>
      </c>
      <c r="C4" s="112" t="s">
        <v>224</v>
      </c>
      <c r="D4" s="112" t="s">
        <v>225</v>
      </c>
      <c r="E4" s="112" t="s">
        <v>226</v>
      </c>
      <c r="F4" s="112" t="s">
        <v>227</v>
      </c>
      <c r="G4" s="112" t="s">
        <v>228</v>
      </c>
      <c r="H4" s="112" t="s">
        <v>607</v>
      </c>
    </row>
    <row r="5" spans="1:8">
      <c r="A5" s="2" t="s">
        <v>947</v>
      </c>
      <c r="B5" s="2" t="s">
        <v>948</v>
      </c>
      <c r="C5" s="116">
        <f>ECL_Module!C26</f>
        <v>0</v>
      </c>
      <c r="D5" s="116">
        <f>ECL_Module!D26</f>
        <v>0.19219031999999997</v>
      </c>
      <c r="E5" s="116">
        <f>ECL_Module!E26</f>
        <v>0.80194968000000011</v>
      </c>
      <c r="F5" s="116">
        <f>ECL_Module!F26</f>
        <v>1.6400300000000001</v>
      </c>
      <c r="G5" s="116">
        <f>ECL_Module!G26</f>
        <v>2.3826003040000008</v>
      </c>
      <c r="H5" s="2" t="s">
        <v>949</v>
      </c>
    </row>
    <row r="6" spans="1:8" ht="27.75" customHeight="1">
      <c r="A6" s="2" t="s">
        <v>950</v>
      </c>
      <c r="B6" s="2" t="s">
        <v>951</v>
      </c>
      <c r="C6" s="116">
        <f>ECL_Module!C26*1.25</f>
        <v>0</v>
      </c>
      <c r="D6" s="116">
        <f>ECL_Module!D26*1.25</f>
        <v>0.24023789999999995</v>
      </c>
      <c r="E6" s="116">
        <f>ECL_Module!E26*1.25</f>
        <v>1.0024371000000001</v>
      </c>
      <c r="F6" s="116">
        <f>ECL_Module!F26*1.25</f>
        <v>2.0500375000000002</v>
      </c>
      <c r="G6" s="116">
        <f>ECL_Module!G26*1.25</f>
        <v>2.9782503800000009</v>
      </c>
      <c r="H6" s="2" t="s">
        <v>952</v>
      </c>
    </row>
    <row r="7" spans="1:8" ht="27.75" customHeight="1">
      <c r="A7" s="2" t="s">
        <v>953</v>
      </c>
      <c r="B7" s="2" t="s">
        <v>954</v>
      </c>
      <c r="C7" s="116">
        <f>ECL_Module!C26*1.15</f>
        <v>0</v>
      </c>
      <c r="D7" s="116">
        <f>ECL_Module!D26*1.15</f>
        <v>0.22101886799999995</v>
      </c>
      <c r="E7" s="116">
        <f>ECL_Module!E26*1.15</f>
        <v>0.92224213200000005</v>
      </c>
      <c r="F7" s="116">
        <f>ECL_Module!F26*1.15</f>
        <v>1.8860345000000001</v>
      </c>
      <c r="G7" s="116">
        <f>ECL_Module!G26*1.15</f>
        <v>2.7399903496000007</v>
      </c>
      <c r="H7" s="2" t="s">
        <v>955</v>
      </c>
    </row>
    <row r="8" spans="1:8" ht="27.75" customHeight="1">
      <c r="A8" s="2" t="s">
        <v>956</v>
      </c>
      <c r="B8" s="2" t="s">
        <v>957</v>
      </c>
      <c r="C8" s="116">
        <f>ECL_Module!C26*1.35</f>
        <v>0</v>
      </c>
      <c r="D8" s="116">
        <f>ECL_Module!D26*1.35</f>
        <v>0.25945693199999997</v>
      </c>
      <c r="E8" s="116">
        <f>ECL_Module!E26*1.35</f>
        <v>1.0826320680000001</v>
      </c>
      <c r="F8" s="116">
        <f>ECL_Module!F26*1.35</f>
        <v>2.2140405000000003</v>
      </c>
      <c r="G8" s="116">
        <f>ECL_Module!G26*1.35</f>
        <v>3.2165104104000011</v>
      </c>
      <c r="H8" s="2" t="s">
        <v>958</v>
      </c>
    </row>
    <row r="9" spans="1:8" ht="28.5">
      <c r="A9" s="2" t="s">
        <v>959</v>
      </c>
      <c r="B9" s="2" t="s">
        <v>960</v>
      </c>
      <c r="C9" s="116">
        <f>ECL_Module!C26*0.9</f>
        <v>0</v>
      </c>
      <c r="D9" s="116">
        <f>ECL_Module!D26*0.9</f>
        <v>0.17297128799999997</v>
      </c>
      <c r="E9" s="116">
        <f>ECL_Module!E26*0.9</f>
        <v>0.72175471200000008</v>
      </c>
      <c r="F9" s="116">
        <f>ECL_Module!F26*0.9</f>
        <v>1.4760270000000002</v>
      </c>
      <c r="G9" s="116">
        <f>ECL_Module!G26*0.9</f>
        <v>2.1443402736000006</v>
      </c>
      <c r="H9" s="2" t="s">
        <v>961</v>
      </c>
    </row>
    <row r="10" spans="1:8">
      <c r="A10" s="2" t="s">
        <v>962</v>
      </c>
      <c r="B10" s="2" t="s">
        <v>963</v>
      </c>
      <c r="C10" s="116">
        <f>MAX(C6:C8)</f>
        <v>0</v>
      </c>
      <c r="D10" s="116">
        <f>MAX(D6:D8)</f>
        <v>0.25945693199999997</v>
      </c>
      <c r="E10" s="116">
        <f>MAX(E6:E8)</f>
        <v>1.0826320680000001</v>
      </c>
      <c r="F10" s="116">
        <f>MAX(F6:F8)</f>
        <v>2.2140405000000003</v>
      </c>
      <c r="G10" s="116">
        <f>MAX(G6:G8)</f>
        <v>3.2165104104000011</v>
      </c>
      <c r="H10" s="2" t="s">
        <v>964</v>
      </c>
    </row>
    <row r="11" spans="1:8">
      <c r="A11" s="2"/>
      <c r="B11" s="2"/>
      <c r="C11" s="2"/>
      <c r="D11" s="2"/>
      <c r="E11" s="2"/>
      <c r="F11" s="2"/>
      <c r="G11" s="2"/>
      <c r="H11" s="2"/>
    </row>
    <row r="12" spans="1:8">
      <c r="A12" s="2"/>
      <c r="B12" s="2"/>
      <c r="C12" s="2"/>
      <c r="D12" s="2"/>
      <c r="E12" s="2"/>
      <c r="F12" s="2"/>
      <c r="G12" s="2"/>
      <c r="H12" s="2"/>
    </row>
    <row r="13" spans="1:8">
      <c r="A13" s="2"/>
      <c r="B13" s="2"/>
      <c r="C13" s="2"/>
      <c r="D13" s="2"/>
      <c r="E13" s="2"/>
      <c r="F13" s="2"/>
      <c r="G13" s="2"/>
      <c r="H13" s="2"/>
    </row>
    <row r="14" spans="1:8">
      <c r="A14" s="2"/>
      <c r="B14" s="2"/>
      <c r="C14" s="2"/>
      <c r="D14" s="2"/>
      <c r="E14" s="2"/>
      <c r="F14" s="2"/>
      <c r="G14" s="2"/>
      <c r="H14" s="2"/>
    </row>
    <row r="15" spans="1:8">
      <c r="A15" s="2"/>
      <c r="B15" s="2"/>
      <c r="C15" s="2"/>
      <c r="D15" s="2"/>
      <c r="E15" s="2"/>
      <c r="F15" s="2"/>
      <c r="G15" s="2"/>
      <c r="H15" s="2"/>
    </row>
    <row r="16" spans="1:8">
      <c r="A16" s="2"/>
      <c r="B16" s="2"/>
      <c r="C16" s="2"/>
      <c r="D16" s="2"/>
      <c r="E16" s="2"/>
      <c r="F16" s="2"/>
      <c r="G16" s="2"/>
      <c r="H16" s="2"/>
    </row>
    <row r="17" spans="1:8">
      <c r="A17" s="2"/>
      <c r="B17" s="2"/>
      <c r="C17" s="2"/>
      <c r="D17" s="2"/>
      <c r="E17" s="2"/>
      <c r="F17" s="2"/>
      <c r="G17" s="2"/>
      <c r="H17" s="2"/>
    </row>
    <row r="18" spans="1:8">
      <c r="A18" s="2"/>
      <c r="B18" s="2"/>
      <c r="C18" s="2"/>
      <c r="D18" s="2"/>
      <c r="E18" s="2"/>
      <c r="F18" s="2"/>
      <c r="G18" s="2"/>
      <c r="H18" s="2"/>
    </row>
    <row r="19" spans="1:8">
      <c r="A19" s="2"/>
      <c r="B19" s="2"/>
      <c r="C19" s="2"/>
      <c r="D19" s="2"/>
      <c r="E19" s="2"/>
      <c r="F19" s="2"/>
      <c r="G19" s="2"/>
      <c r="H19" s="2"/>
    </row>
    <row r="20" spans="1:8">
      <c r="A20" s="2"/>
      <c r="B20" s="2"/>
      <c r="C20" s="2"/>
      <c r="D20" s="2"/>
      <c r="E20" s="2"/>
      <c r="F20" s="2"/>
      <c r="G20" s="2"/>
      <c r="H20" s="2"/>
    </row>
    <row r="21" spans="1:8">
      <c r="A21" s="2"/>
      <c r="B21" s="2"/>
      <c r="C21" s="2"/>
      <c r="D21" s="2"/>
      <c r="E21" s="2"/>
      <c r="F21" s="2"/>
      <c r="G21" s="2"/>
      <c r="H21" s="2"/>
    </row>
    <row r="22" spans="1:8">
      <c r="A22" s="2"/>
      <c r="B22" s="2"/>
      <c r="C22" s="2"/>
      <c r="D22" s="2"/>
      <c r="E22" s="2"/>
      <c r="F22" s="2"/>
      <c r="G22" s="2"/>
      <c r="H22" s="2"/>
    </row>
    <row r="23" spans="1:8">
      <c r="A23" s="2"/>
      <c r="B23" s="2"/>
      <c r="C23" s="2"/>
      <c r="D23" s="2"/>
      <c r="E23" s="2"/>
      <c r="F23" s="2"/>
      <c r="G23" s="2"/>
      <c r="H23" s="2"/>
    </row>
    <row r="24" spans="1:8">
      <c r="A24" s="2"/>
      <c r="B24" s="2"/>
      <c r="C24" s="2"/>
      <c r="D24" s="2"/>
      <c r="E24" s="2"/>
      <c r="F24" s="2"/>
      <c r="G24" s="2"/>
      <c r="H24" s="2"/>
    </row>
    <row r="25" spans="1:8">
      <c r="A25" s="2"/>
      <c r="B25" s="2"/>
      <c r="C25" s="2"/>
      <c r="D25" s="2"/>
      <c r="E25" s="2"/>
      <c r="F25" s="2"/>
      <c r="G25" s="2"/>
      <c r="H25" s="2"/>
    </row>
    <row r="26" spans="1:8">
      <c r="A26" s="2"/>
      <c r="B26" s="2"/>
      <c r="C26" s="2"/>
      <c r="D26" s="2"/>
      <c r="E26" s="2"/>
      <c r="F26" s="2"/>
      <c r="G26" s="2"/>
      <c r="H26" s="2"/>
    </row>
    <row r="27" spans="1:8">
      <c r="A27" s="2"/>
      <c r="B27" s="2"/>
      <c r="C27" s="2"/>
      <c r="D27" s="2"/>
      <c r="E27" s="2"/>
      <c r="F27" s="2"/>
      <c r="G27" s="2"/>
      <c r="H27" s="2"/>
    </row>
    <row r="28" spans="1:8">
      <c r="A28" s="2"/>
      <c r="B28" s="2"/>
      <c r="C28" s="2"/>
      <c r="D28" s="2"/>
      <c r="E28" s="2"/>
      <c r="F28" s="2"/>
      <c r="G28" s="2"/>
      <c r="H28" s="2"/>
    </row>
    <row r="29" spans="1:8">
      <c r="A29" s="2"/>
      <c r="B29" s="2"/>
      <c r="C29" s="2"/>
      <c r="D29" s="2"/>
      <c r="E29" s="2"/>
      <c r="F29" s="2"/>
      <c r="G29" s="2"/>
      <c r="H29" s="2"/>
    </row>
    <row r="30" spans="1:8">
      <c r="A30" s="2"/>
      <c r="B30" s="2"/>
      <c r="C30" s="2"/>
      <c r="D30" s="2"/>
      <c r="E30" s="2"/>
      <c r="F30" s="2"/>
      <c r="G30" s="2"/>
      <c r="H30" s="2"/>
    </row>
    <row r="31" spans="1:8">
      <c r="A31" s="2"/>
      <c r="B31" s="2"/>
      <c r="C31" s="2"/>
      <c r="D31" s="2"/>
      <c r="E31" s="2"/>
      <c r="F31" s="2"/>
      <c r="G31" s="2"/>
      <c r="H31" s="2"/>
    </row>
    <row r="32" spans="1:8">
      <c r="A32" s="2"/>
      <c r="B32" s="2"/>
      <c r="C32" s="2"/>
      <c r="D32" s="2"/>
      <c r="E32" s="2"/>
      <c r="F32" s="2"/>
      <c r="G32" s="2"/>
      <c r="H32" s="2"/>
    </row>
    <row r="33" spans="1:8">
      <c r="A33" s="2"/>
      <c r="B33" s="2"/>
      <c r="C33" s="2"/>
      <c r="D33" s="2"/>
      <c r="E33" s="2"/>
      <c r="F33" s="2"/>
      <c r="G33" s="2"/>
      <c r="H33" s="2"/>
    </row>
    <row r="34" spans="1:8">
      <c r="A34" s="2"/>
      <c r="B34" s="2"/>
      <c r="C34" s="2"/>
      <c r="D34" s="2"/>
      <c r="E34" s="2"/>
      <c r="F34" s="2"/>
      <c r="G34" s="2"/>
      <c r="H34" s="2"/>
    </row>
    <row r="35" spans="1:8">
      <c r="A35" s="2"/>
      <c r="B35" s="2"/>
      <c r="C35" s="2"/>
      <c r="D35" s="2"/>
      <c r="E35" s="2"/>
      <c r="F35" s="2"/>
      <c r="G35" s="2"/>
      <c r="H35" s="2"/>
    </row>
    <row r="36" spans="1:8">
      <c r="A36" s="2"/>
      <c r="B36" s="2"/>
      <c r="C36" s="2"/>
      <c r="D36" s="2"/>
      <c r="E36" s="2"/>
      <c r="F36" s="2"/>
      <c r="G36" s="2"/>
      <c r="H36" s="2"/>
    </row>
    <row r="37" spans="1:8">
      <c r="A37" s="2"/>
      <c r="B37" s="2"/>
      <c r="C37" s="2"/>
      <c r="D37" s="2"/>
      <c r="E37" s="2"/>
      <c r="F37" s="2"/>
      <c r="G37" s="2"/>
      <c r="H37" s="2"/>
    </row>
    <row r="38" spans="1:8">
      <c r="A38" s="2"/>
      <c r="B38" s="2"/>
      <c r="C38" s="2"/>
      <c r="D38" s="2"/>
      <c r="E38" s="2"/>
      <c r="F38" s="2"/>
      <c r="G38" s="2"/>
      <c r="H38" s="2"/>
    </row>
    <row r="39" spans="1:8">
      <c r="A39" s="2"/>
      <c r="B39" s="2"/>
      <c r="C39" s="2"/>
      <c r="D39" s="2"/>
      <c r="E39" s="2"/>
      <c r="F39" s="2"/>
      <c r="G39" s="2"/>
      <c r="H39" s="2"/>
    </row>
    <row r="40" spans="1:8">
      <c r="A40" s="2"/>
      <c r="B40" s="2"/>
      <c r="C40" s="2"/>
      <c r="D40" s="2"/>
      <c r="E40" s="2"/>
      <c r="F40" s="2"/>
      <c r="G40" s="2"/>
      <c r="H40" s="2"/>
    </row>
  </sheetData>
  <mergeCells count="2">
    <mergeCell ref="A2:H2"/>
    <mergeCell ref="A1:H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H40"/>
  <sheetViews>
    <sheetView workbookViewId="0">
      <selection sqref="A1:XFD1048576"/>
    </sheetView>
  </sheetViews>
  <sheetFormatPr defaultColWidth="8.875" defaultRowHeight="14.25"/>
  <cols>
    <col min="1" max="1" width="22" style="1" customWidth="1"/>
    <col min="2" max="4" width="34" style="1" customWidth="1"/>
    <col min="5" max="5" width="28" style="1" customWidth="1"/>
    <col min="6" max="6" width="35" style="1" customWidth="1"/>
    <col min="7" max="7" width="20" style="1" customWidth="1"/>
    <col min="8" max="8" width="45" style="1" customWidth="1"/>
    <col min="9" max="16384" width="8.875" style="1"/>
  </cols>
  <sheetData>
    <row r="1" spans="1:8" ht="27.95" customHeight="1">
      <c r="A1" s="139" t="s">
        <v>965</v>
      </c>
      <c r="B1" s="129"/>
      <c r="C1" s="129"/>
      <c r="D1" s="129"/>
      <c r="E1" s="129"/>
      <c r="F1" s="129"/>
      <c r="G1" s="129"/>
      <c r="H1" s="129"/>
    </row>
    <row r="2" spans="1:8" ht="33.950000000000003" customHeight="1">
      <c r="A2" s="138" t="s">
        <v>966</v>
      </c>
      <c r="B2" s="129"/>
      <c r="C2" s="129"/>
      <c r="D2" s="129"/>
      <c r="E2" s="129"/>
      <c r="F2" s="129"/>
      <c r="G2" s="129"/>
      <c r="H2" s="129"/>
    </row>
    <row r="3" spans="1:8">
      <c r="A3" s="2"/>
      <c r="B3" s="2"/>
      <c r="C3" s="2"/>
      <c r="D3" s="2"/>
      <c r="E3" s="2"/>
      <c r="F3" s="2"/>
      <c r="G3" s="2"/>
      <c r="H3" s="2"/>
    </row>
    <row r="4" spans="1:8" ht="15">
      <c r="A4" s="112" t="s">
        <v>453</v>
      </c>
      <c r="B4" s="112" t="s">
        <v>537</v>
      </c>
      <c r="C4" s="112" t="s">
        <v>967</v>
      </c>
      <c r="D4" s="112" t="s">
        <v>968</v>
      </c>
      <c r="E4" s="112" t="s">
        <v>969</v>
      </c>
      <c r="F4" s="112" t="s">
        <v>970</v>
      </c>
      <c r="G4" s="112" t="s">
        <v>459</v>
      </c>
      <c r="H4" s="112" t="s">
        <v>23</v>
      </c>
    </row>
    <row r="5" spans="1:8" ht="54.75" customHeight="1">
      <c r="A5" s="2" t="s">
        <v>971</v>
      </c>
      <c r="B5" s="2" t="s">
        <v>972</v>
      </c>
      <c r="C5" s="2" t="s">
        <v>973</v>
      </c>
      <c r="D5" s="2" t="s">
        <v>974</v>
      </c>
      <c r="E5" s="2" t="s">
        <v>975</v>
      </c>
      <c r="F5" s="2" t="s">
        <v>976</v>
      </c>
      <c r="G5" s="2" t="s">
        <v>977</v>
      </c>
      <c r="H5" s="2" t="s">
        <v>100</v>
      </c>
    </row>
    <row r="6" spans="1:8" ht="41.25" customHeight="1">
      <c r="A6" s="2" t="s">
        <v>978</v>
      </c>
      <c r="B6" s="2" t="s">
        <v>682</v>
      </c>
      <c r="C6" s="2" t="s">
        <v>979</v>
      </c>
      <c r="D6" s="2" t="s">
        <v>980</v>
      </c>
      <c r="E6" s="2" t="s">
        <v>981</v>
      </c>
      <c r="F6" s="2" t="s">
        <v>982</v>
      </c>
      <c r="G6" s="2" t="s">
        <v>977</v>
      </c>
      <c r="H6" s="2" t="s">
        <v>106</v>
      </c>
    </row>
    <row r="7" spans="1:8" ht="27.75" customHeight="1">
      <c r="A7" s="2" t="s">
        <v>983</v>
      </c>
      <c r="B7" s="2" t="s">
        <v>984</v>
      </c>
      <c r="C7" s="2" t="s">
        <v>985</v>
      </c>
      <c r="D7" s="2" t="s">
        <v>986</v>
      </c>
      <c r="E7" s="2" t="s">
        <v>987</v>
      </c>
      <c r="F7" s="2" t="s">
        <v>988</v>
      </c>
      <c r="G7" s="2" t="s">
        <v>977</v>
      </c>
      <c r="H7" s="2" t="s">
        <v>66</v>
      </c>
    </row>
    <row r="8" spans="1:8" ht="27.75" customHeight="1">
      <c r="A8" s="2" t="s">
        <v>989</v>
      </c>
      <c r="B8" s="2" t="s">
        <v>990</v>
      </c>
      <c r="C8" s="2" t="s">
        <v>991</v>
      </c>
      <c r="D8" s="2" t="s">
        <v>992</v>
      </c>
      <c r="E8" s="2" t="s">
        <v>993</v>
      </c>
      <c r="F8" s="2" t="s">
        <v>994</v>
      </c>
      <c r="G8" s="2" t="s">
        <v>977</v>
      </c>
      <c r="H8" s="2" t="s">
        <v>54</v>
      </c>
    </row>
    <row r="9" spans="1:8" ht="41.25" customHeight="1">
      <c r="A9" s="2" t="s">
        <v>924</v>
      </c>
      <c r="B9" s="2" t="s">
        <v>995</v>
      </c>
      <c r="C9" s="2" t="s">
        <v>996</v>
      </c>
      <c r="D9" s="2" t="s">
        <v>997</v>
      </c>
      <c r="E9" s="2" t="s">
        <v>998</v>
      </c>
      <c r="F9" s="2" t="s">
        <v>999</v>
      </c>
      <c r="G9" s="2" t="s">
        <v>977</v>
      </c>
      <c r="H9" s="2" t="s">
        <v>1000</v>
      </c>
    </row>
    <row r="10" spans="1:8" ht="27.75" customHeight="1">
      <c r="A10" s="2" t="s">
        <v>1001</v>
      </c>
      <c r="B10" s="2" t="s">
        <v>1002</v>
      </c>
      <c r="C10" s="2" t="s">
        <v>1003</v>
      </c>
      <c r="D10" s="2" t="s">
        <v>1004</v>
      </c>
      <c r="E10" s="2" t="s">
        <v>1005</v>
      </c>
      <c r="F10" s="2" t="s">
        <v>1006</v>
      </c>
      <c r="G10" s="2" t="s">
        <v>977</v>
      </c>
      <c r="H10" s="2" t="s">
        <v>109</v>
      </c>
    </row>
    <row r="11" spans="1:8" ht="41.25" customHeight="1">
      <c r="A11" s="2" t="s">
        <v>1007</v>
      </c>
      <c r="B11" s="2" t="s">
        <v>1008</v>
      </c>
      <c r="C11" s="2" t="s">
        <v>1009</v>
      </c>
      <c r="D11" s="2" t="s">
        <v>1010</v>
      </c>
      <c r="E11" s="2" t="s">
        <v>1011</v>
      </c>
      <c r="F11" s="2" t="s">
        <v>1012</v>
      </c>
      <c r="G11" s="2" t="s">
        <v>977</v>
      </c>
      <c r="H11" s="2" t="s">
        <v>54</v>
      </c>
    </row>
    <row r="12" spans="1:8">
      <c r="A12" s="2"/>
      <c r="B12" s="2"/>
      <c r="C12" s="2"/>
      <c r="D12" s="2"/>
      <c r="E12" s="2"/>
      <c r="F12" s="2"/>
      <c r="G12" s="2"/>
      <c r="H12" s="2"/>
    </row>
    <row r="13" spans="1:8">
      <c r="A13" s="2"/>
      <c r="B13" s="2"/>
      <c r="C13" s="2"/>
      <c r="D13" s="2"/>
      <c r="E13" s="2"/>
      <c r="F13" s="2"/>
      <c r="G13" s="2"/>
      <c r="H13" s="2"/>
    </row>
    <row r="14" spans="1:8">
      <c r="A14" s="2"/>
      <c r="B14" s="2"/>
      <c r="C14" s="2"/>
      <c r="D14" s="2"/>
      <c r="E14" s="2"/>
      <c r="F14" s="2"/>
      <c r="G14" s="2"/>
      <c r="H14" s="2"/>
    </row>
    <row r="15" spans="1:8">
      <c r="A15" s="2"/>
      <c r="B15" s="2"/>
      <c r="C15" s="2"/>
      <c r="D15" s="2"/>
      <c r="E15" s="2"/>
      <c r="F15" s="2"/>
      <c r="G15" s="2"/>
      <c r="H15" s="2"/>
    </row>
    <row r="16" spans="1:8">
      <c r="A16" s="2"/>
      <c r="B16" s="2"/>
      <c r="C16" s="2"/>
      <c r="D16" s="2"/>
      <c r="E16" s="2"/>
      <c r="F16" s="2"/>
      <c r="G16" s="2"/>
      <c r="H16" s="2"/>
    </row>
    <row r="17" spans="1:8">
      <c r="A17" s="2"/>
      <c r="B17" s="2"/>
      <c r="C17" s="2"/>
      <c r="D17" s="2"/>
      <c r="E17" s="2"/>
      <c r="F17" s="2"/>
      <c r="G17" s="2"/>
      <c r="H17" s="2"/>
    </row>
    <row r="18" spans="1:8">
      <c r="A18" s="2"/>
      <c r="B18" s="2"/>
      <c r="C18" s="2"/>
      <c r="D18" s="2"/>
      <c r="E18" s="2"/>
      <c r="F18" s="2"/>
      <c r="G18" s="2"/>
      <c r="H18" s="2"/>
    </row>
    <row r="19" spans="1:8">
      <c r="A19" s="2"/>
      <c r="B19" s="2"/>
      <c r="C19" s="2"/>
      <c r="D19" s="2"/>
      <c r="E19" s="2"/>
      <c r="F19" s="2"/>
      <c r="G19" s="2"/>
      <c r="H19" s="2"/>
    </row>
    <row r="20" spans="1:8">
      <c r="A20" s="2"/>
      <c r="B20" s="2"/>
      <c r="C20" s="2"/>
      <c r="D20" s="2"/>
      <c r="E20" s="2"/>
      <c r="F20" s="2"/>
      <c r="G20" s="2"/>
      <c r="H20" s="2"/>
    </row>
    <row r="21" spans="1:8">
      <c r="A21" s="2"/>
      <c r="B21" s="2"/>
      <c r="C21" s="2"/>
      <c r="D21" s="2"/>
      <c r="E21" s="2"/>
      <c r="F21" s="2"/>
      <c r="G21" s="2"/>
      <c r="H21" s="2"/>
    </row>
    <row r="22" spans="1:8">
      <c r="A22" s="2"/>
      <c r="B22" s="2"/>
      <c r="C22" s="2"/>
      <c r="D22" s="2"/>
      <c r="E22" s="2"/>
      <c r="F22" s="2"/>
      <c r="G22" s="2"/>
      <c r="H22" s="2"/>
    </row>
    <row r="23" spans="1:8">
      <c r="A23" s="2"/>
      <c r="B23" s="2"/>
      <c r="C23" s="2"/>
      <c r="D23" s="2"/>
      <c r="E23" s="2"/>
      <c r="F23" s="2"/>
      <c r="G23" s="2"/>
      <c r="H23" s="2"/>
    </row>
    <row r="24" spans="1:8">
      <c r="A24" s="2"/>
      <c r="B24" s="2"/>
      <c r="C24" s="2"/>
      <c r="D24" s="2"/>
      <c r="E24" s="2"/>
      <c r="F24" s="2"/>
      <c r="G24" s="2"/>
      <c r="H24" s="2"/>
    </row>
    <row r="25" spans="1:8">
      <c r="A25" s="2"/>
      <c r="B25" s="2"/>
      <c r="C25" s="2"/>
      <c r="D25" s="2"/>
      <c r="E25" s="2"/>
      <c r="F25" s="2"/>
      <c r="G25" s="2"/>
      <c r="H25" s="2"/>
    </row>
    <row r="26" spans="1:8">
      <c r="A26" s="2"/>
      <c r="B26" s="2"/>
      <c r="C26" s="2"/>
      <c r="D26" s="2"/>
      <c r="E26" s="2"/>
      <c r="F26" s="2"/>
      <c r="G26" s="2"/>
      <c r="H26" s="2"/>
    </row>
    <row r="27" spans="1:8">
      <c r="A27" s="2"/>
      <c r="B27" s="2"/>
      <c r="C27" s="2"/>
      <c r="D27" s="2"/>
      <c r="E27" s="2"/>
      <c r="F27" s="2"/>
      <c r="G27" s="2"/>
      <c r="H27" s="2"/>
    </row>
    <row r="28" spans="1:8">
      <c r="A28" s="2"/>
      <c r="B28" s="2"/>
      <c r="C28" s="2"/>
      <c r="D28" s="2"/>
      <c r="E28" s="2"/>
      <c r="F28" s="2"/>
      <c r="G28" s="2"/>
      <c r="H28" s="2"/>
    </row>
    <row r="29" spans="1:8">
      <c r="A29" s="2"/>
      <c r="B29" s="2"/>
      <c r="C29" s="2"/>
      <c r="D29" s="2"/>
      <c r="E29" s="2"/>
      <c r="F29" s="2"/>
      <c r="G29" s="2"/>
      <c r="H29" s="2"/>
    </row>
    <row r="30" spans="1:8">
      <c r="A30" s="2"/>
      <c r="B30" s="2"/>
      <c r="C30" s="2"/>
      <c r="D30" s="2"/>
      <c r="E30" s="2"/>
      <c r="F30" s="2"/>
      <c r="G30" s="2"/>
      <c r="H30" s="2"/>
    </row>
    <row r="31" spans="1:8">
      <c r="A31" s="2"/>
      <c r="B31" s="2"/>
      <c r="C31" s="2"/>
      <c r="D31" s="2"/>
      <c r="E31" s="2"/>
      <c r="F31" s="2"/>
      <c r="G31" s="2"/>
      <c r="H31" s="2"/>
    </row>
    <row r="32" spans="1:8">
      <c r="A32" s="2"/>
      <c r="B32" s="2"/>
      <c r="C32" s="2"/>
      <c r="D32" s="2"/>
      <c r="E32" s="2"/>
      <c r="F32" s="2"/>
      <c r="G32" s="2"/>
      <c r="H32" s="2"/>
    </row>
    <row r="33" spans="1:8">
      <c r="A33" s="2"/>
      <c r="B33" s="2"/>
      <c r="C33" s="2"/>
      <c r="D33" s="2"/>
      <c r="E33" s="2"/>
      <c r="F33" s="2"/>
      <c r="G33" s="2"/>
      <c r="H33" s="2"/>
    </row>
    <row r="34" spans="1:8">
      <c r="A34" s="2"/>
      <c r="B34" s="2"/>
      <c r="C34" s="2"/>
      <c r="D34" s="2"/>
      <c r="E34" s="2"/>
      <c r="F34" s="2"/>
      <c r="G34" s="2"/>
      <c r="H34" s="2"/>
    </row>
    <row r="35" spans="1:8">
      <c r="A35" s="2"/>
      <c r="B35" s="2"/>
      <c r="C35" s="2"/>
      <c r="D35" s="2"/>
      <c r="E35" s="2"/>
      <c r="F35" s="2"/>
      <c r="G35" s="2"/>
      <c r="H35" s="2"/>
    </row>
    <row r="36" spans="1:8">
      <c r="A36" s="2"/>
      <c r="B36" s="2"/>
      <c r="C36" s="2"/>
      <c r="D36" s="2"/>
      <c r="E36" s="2"/>
      <c r="F36" s="2"/>
      <c r="G36" s="2"/>
      <c r="H36" s="2"/>
    </row>
    <row r="37" spans="1:8">
      <c r="A37" s="2"/>
      <c r="B37" s="2"/>
      <c r="C37" s="2"/>
      <c r="D37" s="2"/>
      <c r="E37" s="2"/>
      <c r="F37" s="2"/>
      <c r="G37" s="2"/>
      <c r="H37" s="2"/>
    </row>
    <row r="38" spans="1:8">
      <c r="A38" s="2"/>
      <c r="B38" s="2"/>
      <c r="C38" s="2"/>
      <c r="D38" s="2"/>
      <c r="E38" s="2"/>
      <c r="F38" s="2"/>
      <c r="G38" s="2"/>
      <c r="H38" s="2"/>
    </row>
    <row r="39" spans="1:8">
      <c r="A39" s="2"/>
      <c r="B39" s="2"/>
      <c r="C39" s="2"/>
      <c r="D39" s="2"/>
      <c r="E39" s="2"/>
      <c r="F39" s="2"/>
      <c r="G39" s="2"/>
      <c r="H39" s="2"/>
    </row>
    <row r="40" spans="1:8">
      <c r="A40" s="2"/>
      <c r="B40" s="2"/>
      <c r="C40" s="2"/>
      <c r="D40" s="2"/>
      <c r="E40" s="2"/>
      <c r="F40" s="2"/>
      <c r="G40" s="2"/>
      <c r="H40" s="2"/>
    </row>
  </sheetData>
  <mergeCells count="2">
    <mergeCell ref="A2:H2"/>
    <mergeCell ref="A1:H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H40"/>
  <sheetViews>
    <sheetView topLeftCell="B9" workbookViewId="0">
      <selection sqref="A1:XFD1048576"/>
    </sheetView>
  </sheetViews>
  <sheetFormatPr defaultColWidth="8.875" defaultRowHeight="14.25"/>
  <cols>
    <col min="1" max="1" width="8" style="1" customWidth="1"/>
    <col min="2" max="2" width="36" style="1" customWidth="1"/>
    <col min="3" max="3" width="20" style="1" customWidth="1"/>
    <col min="4" max="4" width="30" style="1" customWidth="1"/>
    <col min="5" max="5" width="20" style="1" customWidth="1"/>
    <col min="6" max="6" width="42" style="1" customWidth="1"/>
    <col min="7" max="7" width="14" style="1" customWidth="1"/>
    <col min="8" max="8" width="42" style="1" customWidth="1"/>
    <col min="9" max="16384" width="8.875" style="1"/>
  </cols>
  <sheetData>
    <row r="1" spans="1:8" ht="27.95" customHeight="1">
      <c r="A1" s="139" t="s">
        <v>1013</v>
      </c>
      <c r="B1" s="129"/>
      <c r="C1" s="129"/>
      <c r="D1" s="129"/>
      <c r="E1" s="129"/>
      <c r="F1" s="129"/>
      <c r="G1" s="129"/>
      <c r="H1" s="129"/>
    </row>
    <row r="2" spans="1:8" ht="33.950000000000003" customHeight="1">
      <c r="A2" s="138" t="s">
        <v>1014</v>
      </c>
      <c r="B2" s="129"/>
      <c r="C2" s="129"/>
      <c r="D2" s="129"/>
      <c r="E2" s="129"/>
      <c r="F2" s="129"/>
      <c r="G2" s="129"/>
      <c r="H2" s="129"/>
    </row>
    <row r="3" spans="1:8">
      <c r="A3" s="2"/>
      <c r="B3" s="2"/>
      <c r="C3" s="2"/>
      <c r="D3" s="2"/>
      <c r="E3" s="2"/>
      <c r="F3" s="2"/>
      <c r="G3" s="2"/>
      <c r="H3" s="2"/>
    </row>
    <row r="4" spans="1:8" ht="15">
      <c r="A4" s="112" t="s">
        <v>18</v>
      </c>
      <c r="B4" s="112" t="s">
        <v>1015</v>
      </c>
      <c r="C4" s="112" t="s">
        <v>1016</v>
      </c>
      <c r="D4" s="112" t="s">
        <v>1017</v>
      </c>
      <c r="E4" s="112" t="s">
        <v>1018</v>
      </c>
      <c r="F4" s="112" t="s">
        <v>1019</v>
      </c>
      <c r="G4" s="112" t="s">
        <v>1020</v>
      </c>
      <c r="H4" s="112" t="s">
        <v>378</v>
      </c>
    </row>
    <row r="5" spans="1:8" ht="27.75" customHeight="1">
      <c r="A5" s="2">
        <v>1</v>
      </c>
      <c r="B5" s="2" t="s">
        <v>1021</v>
      </c>
      <c r="C5" s="2" t="s">
        <v>1022</v>
      </c>
      <c r="D5" s="2" t="s">
        <v>1023</v>
      </c>
      <c r="E5" s="2" t="s">
        <v>1024</v>
      </c>
      <c r="F5" s="2" t="s">
        <v>1025</v>
      </c>
      <c r="G5" s="2" t="s">
        <v>1026</v>
      </c>
      <c r="H5" s="2" t="s">
        <v>1027</v>
      </c>
    </row>
    <row r="6" spans="1:8" ht="27.75" customHeight="1">
      <c r="A6" s="2">
        <v>2</v>
      </c>
      <c r="B6" s="2" t="s">
        <v>1028</v>
      </c>
      <c r="C6" s="2" t="s">
        <v>1022</v>
      </c>
      <c r="D6" s="2" t="s">
        <v>1029</v>
      </c>
      <c r="E6" s="2" t="s">
        <v>1024</v>
      </c>
      <c r="F6" s="2" t="s">
        <v>1030</v>
      </c>
      <c r="G6" s="2" t="s">
        <v>1026</v>
      </c>
      <c r="H6" s="2" t="s">
        <v>1031</v>
      </c>
    </row>
    <row r="7" spans="1:8" ht="28.5">
      <c r="A7" s="2">
        <v>3</v>
      </c>
      <c r="B7" s="2" t="s">
        <v>853</v>
      </c>
      <c r="C7" s="2" t="s">
        <v>1022</v>
      </c>
      <c r="D7" s="2" t="s">
        <v>1029</v>
      </c>
      <c r="E7" s="2" t="s">
        <v>1024</v>
      </c>
      <c r="F7" s="2" t="s">
        <v>1032</v>
      </c>
      <c r="G7" s="2" t="s">
        <v>1026</v>
      </c>
      <c r="H7" s="2" t="s">
        <v>1033</v>
      </c>
    </row>
    <row r="8" spans="1:8" ht="28.5">
      <c r="A8" s="2">
        <v>4</v>
      </c>
      <c r="B8" s="2" t="s">
        <v>1034</v>
      </c>
      <c r="C8" s="2" t="s">
        <v>1022</v>
      </c>
      <c r="D8" s="2" t="s">
        <v>1035</v>
      </c>
      <c r="E8" s="2" t="s">
        <v>1036</v>
      </c>
      <c r="F8" s="2" t="s">
        <v>1037</v>
      </c>
      <c r="G8" s="2" t="s">
        <v>1026</v>
      </c>
      <c r="H8" s="2" t="s">
        <v>1038</v>
      </c>
    </row>
    <row r="9" spans="1:8" ht="27" customHeight="1">
      <c r="A9" s="2">
        <v>5</v>
      </c>
      <c r="B9" s="2" t="s">
        <v>1039</v>
      </c>
      <c r="C9" s="2" t="s">
        <v>1022</v>
      </c>
      <c r="D9" s="2" t="s">
        <v>1035</v>
      </c>
      <c r="E9" s="2" t="s">
        <v>1040</v>
      </c>
      <c r="F9" s="2" t="s">
        <v>1041</v>
      </c>
      <c r="G9" s="2" t="s">
        <v>1026</v>
      </c>
      <c r="H9" s="2" t="s">
        <v>1042</v>
      </c>
    </row>
    <row r="10" spans="1:8" ht="27.75" customHeight="1">
      <c r="A10" s="2">
        <v>6</v>
      </c>
      <c r="B10" s="2" t="s">
        <v>1043</v>
      </c>
      <c r="C10" s="2" t="s">
        <v>1022</v>
      </c>
      <c r="D10" s="2" t="s">
        <v>420</v>
      </c>
      <c r="E10" s="2" t="s">
        <v>1040</v>
      </c>
      <c r="F10" s="2" t="s">
        <v>1044</v>
      </c>
      <c r="G10" s="2" t="s">
        <v>1026</v>
      </c>
      <c r="H10" s="2" t="s">
        <v>1045</v>
      </c>
    </row>
    <row r="11" spans="1:8" ht="27.75" customHeight="1">
      <c r="A11" s="2">
        <v>7</v>
      </c>
      <c r="B11" s="2" t="s">
        <v>1046</v>
      </c>
      <c r="C11" s="2" t="s">
        <v>1022</v>
      </c>
      <c r="D11" s="2" t="s">
        <v>1047</v>
      </c>
      <c r="E11" s="2" t="s">
        <v>1048</v>
      </c>
      <c r="F11" s="2" t="s">
        <v>1049</v>
      </c>
      <c r="G11" s="2" t="s">
        <v>1026</v>
      </c>
      <c r="H11" s="2" t="s">
        <v>1050</v>
      </c>
    </row>
    <row r="12" spans="1:8" ht="27.75" customHeight="1">
      <c r="A12" s="2">
        <v>8</v>
      </c>
      <c r="B12" s="2" t="s">
        <v>1051</v>
      </c>
      <c r="C12" s="2" t="s">
        <v>1022</v>
      </c>
      <c r="D12" s="2" t="s">
        <v>1052</v>
      </c>
      <c r="E12" s="2" t="s">
        <v>1053</v>
      </c>
      <c r="F12" s="2" t="s">
        <v>1054</v>
      </c>
      <c r="G12" s="2" t="s">
        <v>1055</v>
      </c>
      <c r="H12" s="2" t="s">
        <v>1056</v>
      </c>
    </row>
    <row r="13" spans="1:8" ht="40.5" customHeight="1">
      <c r="A13" s="2">
        <v>9</v>
      </c>
      <c r="B13" s="2" t="s">
        <v>1057</v>
      </c>
      <c r="C13" s="2" t="s">
        <v>1022</v>
      </c>
      <c r="D13" s="2" t="s">
        <v>426</v>
      </c>
      <c r="E13" s="2" t="s">
        <v>1058</v>
      </c>
      <c r="F13" s="2" t="s">
        <v>1059</v>
      </c>
      <c r="G13" s="2" t="s">
        <v>1026</v>
      </c>
      <c r="H13" s="2" t="s">
        <v>1060</v>
      </c>
    </row>
    <row r="14" spans="1:8" ht="27.75" customHeight="1">
      <c r="A14" s="2">
        <v>10</v>
      </c>
      <c r="B14" s="2" t="s">
        <v>1061</v>
      </c>
      <c r="C14" s="2" t="s">
        <v>432</v>
      </c>
      <c r="D14" s="2" t="s">
        <v>1062</v>
      </c>
      <c r="E14" s="2" t="s">
        <v>1063</v>
      </c>
      <c r="F14" s="2" t="s">
        <v>1064</v>
      </c>
      <c r="G14" s="2" t="s">
        <v>1026</v>
      </c>
      <c r="H14" s="2" t="s">
        <v>1065</v>
      </c>
    </row>
    <row r="15" spans="1:8" ht="27.75" customHeight="1">
      <c r="A15" s="2">
        <v>11</v>
      </c>
      <c r="B15" s="2" t="s">
        <v>1066</v>
      </c>
      <c r="C15" s="2" t="s">
        <v>432</v>
      </c>
      <c r="D15" s="2" t="s">
        <v>1067</v>
      </c>
      <c r="E15" s="2" t="s">
        <v>1068</v>
      </c>
      <c r="F15" s="2" t="s">
        <v>1069</v>
      </c>
      <c r="G15" s="2" t="s">
        <v>1026</v>
      </c>
      <c r="H15" s="2" t="s">
        <v>1070</v>
      </c>
    </row>
    <row r="16" spans="1:8">
      <c r="A16" s="2"/>
      <c r="B16" s="2"/>
      <c r="C16" s="2"/>
      <c r="D16" s="2"/>
      <c r="E16" s="2"/>
      <c r="F16" s="2"/>
      <c r="G16" s="2"/>
      <c r="H16" s="2"/>
    </row>
    <row r="17" spans="1:8">
      <c r="A17" s="2"/>
      <c r="B17" s="2"/>
      <c r="C17" s="2"/>
      <c r="D17" s="2"/>
      <c r="E17" s="2"/>
      <c r="F17" s="2"/>
      <c r="G17" s="2"/>
      <c r="H17" s="2"/>
    </row>
    <row r="18" spans="1:8">
      <c r="A18" s="2"/>
      <c r="B18" s="2"/>
      <c r="C18" s="2"/>
      <c r="D18" s="2"/>
      <c r="E18" s="2"/>
      <c r="F18" s="2"/>
      <c r="G18" s="2"/>
      <c r="H18" s="2"/>
    </row>
    <row r="19" spans="1:8">
      <c r="A19" s="2"/>
      <c r="B19" s="2"/>
      <c r="C19" s="2"/>
      <c r="D19" s="2"/>
      <c r="E19" s="2"/>
      <c r="F19" s="2"/>
      <c r="G19" s="2"/>
      <c r="H19" s="2"/>
    </row>
    <row r="20" spans="1:8">
      <c r="A20" s="2"/>
      <c r="B20" s="2"/>
      <c r="C20" s="2"/>
      <c r="D20" s="2"/>
      <c r="E20" s="2"/>
      <c r="F20" s="2"/>
      <c r="G20" s="2"/>
      <c r="H20" s="2"/>
    </row>
    <row r="21" spans="1:8">
      <c r="A21" s="2"/>
      <c r="B21" s="2"/>
      <c r="C21" s="2"/>
      <c r="D21" s="2"/>
      <c r="E21" s="2"/>
      <c r="F21" s="2"/>
      <c r="G21" s="2"/>
      <c r="H21" s="2"/>
    </row>
    <row r="22" spans="1:8">
      <c r="A22" s="2"/>
      <c r="B22" s="2"/>
      <c r="C22" s="2"/>
      <c r="D22" s="2"/>
      <c r="E22" s="2"/>
      <c r="F22" s="2"/>
      <c r="G22" s="2"/>
      <c r="H22" s="2"/>
    </row>
    <row r="23" spans="1:8">
      <c r="A23" s="2"/>
      <c r="B23" s="2"/>
      <c r="C23" s="2"/>
      <c r="D23" s="2"/>
      <c r="E23" s="2"/>
      <c r="F23" s="2"/>
      <c r="G23" s="2"/>
      <c r="H23" s="2"/>
    </row>
    <row r="24" spans="1:8">
      <c r="A24" s="2"/>
      <c r="B24" s="2"/>
      <c r="C24" s="2"/>
      <c r="D24" s="2"/>
      <c r="E24" s="2"/>
      <c r="F24" s="2"/>
      <c r="G24" s="2"/>
      <c r="H24" s="2"/>
    </row>
    <row r="25" spans="1:8">
      <c r="A25" s="2"/>
      <c r="B25" s="2"/>
      <c r="C25" s="2"/>
      <c r="D25" s="2"/>
      <c r="E25" s="2"/>
      <c r="F25" s="2"/>
      <c r="G25" s="2"/>
      <c r="H25" s="2"/>
    </row>
    <row r="26" spans="1:8">
      <c r="A26" s="2"/>
      <c r="B26" s="2"/>
      <c r="C26" s="2"/>
      <c r="D26" s="2"/>
      <c r="E26" s="2"/>
      <c r="F26" s="2"/>
      <c r="G26" s="2"/>
      <c r="H26" s="2"/>
    </row>
    <row r="27" spans="1:8">
      <c r="A27" s="2"/>
      <c r="B27" s="2"/>
      <c r="C27" s="2"/>
      <c r="D27" s="2"/>
      <c r="E27" s="2"/>
      <c r="F27" s="2"/>
      <c r="G27" s="2"/>
      <c r="H27" s="2"/>
    </row>
    <row r="28" spans="1:8">
      <c r="A28" s="2"/>
      <c r="B28" s="2"/>
      <c r="C28" s="2"/>
      <c r="D28" s="2"/>
      <c r="E28" s="2"/>
      <c r="F28" s="2"/>
      <c r="G28" s="2"/>
      <c r="H28" s="2"/>
    </row>
    <row r="29" spans="1:8">
      <c r="A29" s="2"/>
      <c r="B29" s="2"/>
      <c r="C29" s="2"/>
      <c r="D29" s="2"/>
      <c r="E29" s="2"/>
      <c r="F29" s="2"/>
      <c r="G29" s="2"/>
      <c r="H29" s="2"/>
    </row>
    <row r="30" spans="1:8">
      <c r="A30" s="2"/>
      <c r="B30" s="2"/>
      <c r="C30" s="2"/>
      <c r="D30" s="2"/>
      <c r="E30" s="2"/>
      <c r="F30" s="2"/>
      <c r="G30" s="2"/>
      <c r="H30" s="2"/>
    </row>
    <row r="31" spans="1:8">
      <c r="A31" s="2"/>
      <c r="B31" s="2"/>
      <c r="C31" s="2"/>
      <c r="D31" s="2"/>
      <c r="E31" s="2"/>
      <c r="F31" s="2"/>
      <c r="G31" s="2"/>
      <c r="H31" s="2"/>
    </row>
    <row r="32" spans="1:8">
      <c r="A32" s="2"/>
      <c r="B32" s="2"/>
      <c r="C32" s="2"/>
      <c r="D32" s="2"/>
      <c r="E32" s="2"/>
      <c r="F32" s="2"/>
      <c r="G32" s="2"/>
      <c r="H32" s="2"/>
    </row>
    <row r="33" spans="1:8">
      <c r="A33" s="2"/>
      <c r="B33" s="2"/>
      <c r="C33" s="2"/>
      <c r="D33" s="2"/>
      <c r="E33" s="2"/>
      <c r="F33" s="2"/>
      <c r="G33" s="2"/>
      <c r="H33" s="2"/>
    </row>
    <row r="34" spans="1:8">
      <c r="A34" s="2"/>
      <c r="B34" s="2"/>
      <c r="C34" s="2"/>
      <c r="D34" s="2"/>
      <c r="E34" s="2"/>
      <c r="F34" s="2"/>
      <c r="G34" s="2"/>
      <c r="H34" s="2"/>
    </row>
    <row r="35" spans="1:8">
      <c r="A35" s="2"/>
      <c r="B35" s="2"/>
      <c r="C35" s="2"/>
      <c r="D35" s="2"/>
      <c r="E35" s="2"/>
      <c r="F35" s="2"/>
      <c r="G35" s="2"/>
      <c r="H35" s="2"/>
    </row>
    <row r="36" spans="1:8">
      <c r="A36" s="2"/>
      <c r="B36" s="2"/>
      <c r="C36" s="2"/>
      <c r="D36" s="2"/>
      <c r="E36" s="2"/>
      <c r="F36" s="2"/>
      <c r="G36" s="2"/>
      <c r="H36" s="2"/>
    </row>
    <row r="37" spans="1:8">
      <c r="A37" s="2"/>
      <c r="B37" s="2"/>
      <c r="C37" s="2"/>
      <c r="D37" s="2"/>
      <c r="E37" s="2"/>
      <c r="F37" s="2"/>
      <c r="G37" s="2"/>
      <c r="H37" s="2"/>
    </row>
    <row r="38" spans="1:8">
      <c r="A38" s="2"/>
      <c r="B38" s="2"/>
      <c r="C38" s="2"/>
      <c r="D38" s="2"/>
      <c r="E38" s="2"/>
      <c r="F38" s="2"/>
      <c r="G38" s="2"/>
      <c r="H38" s="2"/>
    </row>
    <row r="39" spans="1:8">
      <c r="A39" s="2"/>
      <c r="B39" s="2"/>
      <c r="C39" s="2"/>
      <c r="D39" s="2"/>
      <c r="E39" s="2"/>
      <c r="F39" s="2"/>
      <c r="G39" s="2"/>
      <c r="H39" s="2"/>
    </row>
    <row r="40" spans="1:8">
      <c r="A40" s="2"/>
      <c r="B40" s="2"/>
      <c r="C40" s="2"/>
      <c r="D40" s="2"/>
      <c r="E40" s="2"/>
      <c r="F40" s="2"/>
      <c r="G40" s="2"/>
      <c r="H40" s="2"/>
    </row>
  </sheetData>
  <mergeCells count="2">
    <mergeCell ref="A2:H2"/>
    <mergeCell ref="A1:H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>
    <pageSetUpPr fitToPage="1"/>
  </sheetPr>
  <dimension ref="A1:H27"/>
  <sheetViews>
    <sheetView showGridLines="0" workbookViewId="0">
      <pane xSplit="1" ySplit="4" topLeftCell="B15" activePane="bottomRight" state="frozen"/>
      <selection pane="topRight"/>
      <selection pane="bottomLeft"/>
      <selection pane="bottomRight" sqref="A1:XFD1048576"/>
    </sheetView>
  </sheetViews>
  <sheetFormatPr defaultColWidth="8.875" defaultRowHeight="14.25"/>
  <cols>
    <col min="1" max="1" width="42" style="1" customWidth="1"/>
    <col min="2" max="6" width="18" style="1" customWidth="1"/>
    <col min="7" max="7" width="24" style="1" customWidth="1"/>
    <col min="8" max="8" width="55" style="1" customWidth="1"/>
    <col min="9" max="16384" width="8.875" style="1"/>
  </cols>
  <sheetData>
    <row r="1" spans="1:8" ht="30" customHeight="1">
      <c r="A1" s="141" t="s">
        <v>1071</v>
      </c>
      <c r="B1" s="129"/>
      <c r="C1" s="129"/>
      <c r="D1" s="129"/>
      <c r="E1" s="129"/>
      <c r="F1" s="129"/>
      <c r="G1" s="129"/>
      <c r="H1" s="129"/>
    </row>
    <row r="2" spans="1:8" ht="36" customHeight="1">
      <c r="A2" s="140" t="s">
        <v>1072</v>
      </c>
      <c r="B2" s="129"/>
      <c r="C2" s="129"/>
      <c r="D2" s="129"/>
      <c r="E2" s="129"/>
      <c r="F2" s="129"/>
      <c r="G2" s="129"/>
      <c r="H2" s="129"/>
    </row>
    <row r="4" spans="1:8" ht="41.25" customHeight="1">
      <c r="A4" s="118" t="s">
        <v>641</v>
      </c>
      <c r="B4" s="118" t="s">
        <v>224</v>
      </c>
      <c r="C4" s="118" t="s">
        <v>225</v>
      </c>
      <c r="D4" s="118" t="s">
        <v>226</v>
      </c>
      <c r="E4" s="118" t="s">
        <v>227</v>
      </c>
      <c r="F4" s="118" t="s">
        <v>228</v>
      </c>
      <c r="G4" s="118" t="s">
        <v>123</v>
      </c>
      <c r="H4" s="118" t="s">
        <v>124</v>
      </c>
    </row>
    <row r="5" spans="1:8" ht="28.5">
      <c r="A5" s="72" t="s">
        <v>1073</v>
      </c>
      <c r="B5" s="72">
        <v>7.2</v>
      </c>
      <c r="C5" s="72">
        <v>7.92</v>
      </c>
      <c r="D5" s="72">
        <v>8.7100000000000009</v>
      </c>
      <c r="E5" s="72">
        <v>9.58</v>
      </c>
      <c r="F5" s="72">
        <v>10.54</v>
      </c>
      <c r="G5" s="72" t="s">
        <v>251</v>
      </c>
      <c r="H5" s="72" t="s">
        <v>1074</v>
      </c>
    </row>
    <row r="6" spans="1:8" ht="28.5">
      <c r="A6" s="72" t="s">
        <v>1075</v>
      </c>
      <c r="B6" s="72">
        <v>0.8</v>
      </c>
      <c r="C6" s="72">
        <v>1</v>
      </c>
      <c r="D6" s="72">
        <v>1.1000000000000001</v>
      </c>
      <c r="E6" s="72">
        <v>1.2</v>
      </c>
      <c r="F6" s="72">
        <v>1.3</v>
      </c>
      <c r="G6" s="72" t="s">
        <v>251</v>
      </c>
      <c r="H6" s="72" t="s">
        <v>1076</v>
      </c>
    </row>
    <row r="7" spans="1:8" ht="28.5">
      <c r="A7" s="72" t="s">
        <v>1077</v>
      </c>
      <c r="B7" s="72">
        <v>0.45</v>
      </c>
      <c r="C7" s="72">
        <v>0.55000000000000004</v>
      </c>
      <c r="D7" s="72">
        <v>0.65</v>
      </c>
      <c r="E7" s="72">
        <v>0.75</v>
      </c>
      <c r="F7" s="72">
        <v>0.85</v>
      </c>
      <c r="G7" s="72" t="s">
        <v>251</v>
      </c>
      <c r="H7" s="72" t="s">
        <v>1078</v>
      </c>
    </row>
    <row r="8" spans="1:8" ht="28.5">
      <c r="A8" s="72" t="s">
        <v>1079</v>
      </c>
      <c r="B8" s="72">
        <v>0.35</v>
      </c>
      <c r="C8" s="72">
        <v>0.45</v>
      </c>
      <c r="D8" s="72">
        <v>0.55000000000000004</v>
      </c>
      <c r="E8" s="72">
        <v>0.65</v>
      </c>
      <c r="F8" s="72">
        <v>0.75</v>
      </c>
      <c r="G8" s="72" t="s">
        <v>251</v>
      </c>
      <c r="H8" s="72" t="s">
        <v>1080</v>
      </c>
    </row>
    <row r="9" spans="1:8" ht="28.5">
      <c r="A9" s="72" t="s">
        <v>1081</v>
      </c>
      <c r="B9" s="72">
        <v>0.3</v>
      </c>
      <c r="C9" s="72">
        <v>0.45</v>
      </c>
      <c r="D9" s="72">
        <v>0.55000000000000004</v>
      </c>
      <c r="E9" s="72">
        <v>0.65</v>
      </c>
      <c r="F9" s="72">
        <v>0.75</v>
      </c>
      <c r="G9" s="72" t="s">
        <v>251</v>
      </c>
      <c r="H9" s="72" t="s">
        <v>1082</v>
      </c>
    </row>
    <row r="10" spans="1:8" ht="28.5">
      <c r="A10" s="72" t="s">
        <v>1083</v>
      </c>
      <c r="B10" s="72">
        <v>0.25</v>
      </c>
      <c r="C10" s="72">
        <v>0.35</v>
      </c>
      <c r="D10" s="72">
        <v>0.45</v>
      </c>
      <c r="E10" s="72">
        <v>0.55000000000000004</v>
      </c>
      <c r="F10" s="72">
        <v>0.65</v>
      </c>
      <c r="G10" s="72" t="s">
        <v>251</v>
      </c>
      <c r="H10" s="72" t="s">
        <v>1084</v>
      </c>
    </row>
    <row r="11" spans="1:8" ht="28.5">
      <c r="A11" s="72" t="s">
        <v>1085</v>
      </c>
      <c r="B11" s="72">
        <v>0.2</v>
      </c>
      <c r="C11" s="72">
        <v>0.25</v>
      </c>
      <c r="D11" s="72">
        <v>0.3</v>
      </c>
      <c r="E11" s="72">
        <v>0.35</v>
      </c>
      <c r="F11" s="72">
        <v>0.4</v>
      </c>
      <c r="G11" s="72" t="s">
        <v>251</v>
      </c>
      <c r="H11" s="72" t="s">
        <v>1086</v>
      </c>
    </row>
    <row r="12" spans="1:8" ht="28.5">
      <c r="A12" s="72" t="s">
        <v>1087</v>
      </c>
      <c r="B12" s="72">
        <v>0.15</v>
      </c>
      <c r="C12" s="72">
        <v>0.25</v>
      </c>
      <c r="D12" s="72">
        <v>0.35</v>
      </c>
      <c r="E12" s="72">
        <v>0.45</v>
      </c>
      <c r="F12" s="72">
        <v>0.55000000000000004</v>
      </c>
      <c r="G12" s="72" t="s">
        <v>251</v>
      </c>
      <c r="H12" s="72" t="s">
        <v>1088</v>
      </c>
    </row>
    <row r="13" spans="1:8" ht="28.5">
      <c r="A13" s="72" t="s">
        <v>1089</v>
      </c>
      <c r="B13" s="72">
        <v>0</v>
      </c>
      <c r="C13" s="72">
        <v>0.12</v>
      </c>
      <c r="D13" s="72">
        <v>0.16</v>
      </c>
      <c r="E13" s="72">
        <v>0.2</v>
      </c>
      <c r="F13" s="72">
        <v>0.24</v>
      </c>
      <c r="G13" s="72" t="s">
        <v>251</v>
      </c>
      <c r="H13" s="72" t="s">
        <v>1090</v>
      </c>
    </row>
    <row r="14" spans="1:8" ht="27.75" customHeight="1">
      <c r="A14" s="72" t="s">
        <v>1091</v>
      </c>
      <c r="B14" s="72">
        <f>Annual_Summary!B10*0.0002</f>
        <v>9.6000000000000009E-3</v>
      </c>
      <c r="C14" s="72">
        <f>Annual_Summary!C10*0.0002</f>
        <v>1.7100000000000001E-2</v>
      </c>
      <c r="D14" s="72">
        <f>Annual_Summary!D10*0.0002</f>
        <v>2.8000000000000001E-2</v>
      </c>
      <c r="E14" s="72">
        <f>Annual_Summary!E10*0.0002</f>
        <v>4.4000000000000004E-2</v>
      </c>
      <c r="F14" s="72">
        <f>Annual_Summary!F10*0.0002</f>
        <v>6.2400000000000004E-2</v>
      </c>
      <c r="G14" s="72" t="s">
        <v>251</v>
      </c>
      <c r="H14" s="72" t="s">
        <v>1092</v>
      </c>
    </row>
    <row r="15" spans="1:8">
      <c r="A15" s="72"/>
      <c r="B15" s="72"/>
      <c r="C15" s="72"/>
      <c r="D15" s="72"/>
      <c r="E15" s="72"/>
      <c r="F15" s="72"/>
      <c r="G15" s="72"/>
      <c r="H15" s="72"/>
    </row>
    <row r="16" spans="1:8" ht="27.75" customHeight="1">
      <c r="A16" s="119" t="s">
        <v>1093</v>
      </c>
      <c r="B16" s="119">
        <f>SUM(B5:B14)</f>
        <v>9.7096</v>
      </c>
      <c r="C16" s="119">
        <f>SUM(C5:C14)</f>
        <v>11.357099999999997</v>
      </c>
      <c r="D16" s="119">
        <f>SUM(D5:D14)</f>
        <v>12.848000000000003</v>
      </c>
      <c r="E16" s="119">
        <f>SUM(E5:E14)</f>
        <v>14.423999999999999</v>
      </c>
      <c r="F16" s="119">
        <f>SUM(F5:F14)</f>
        <v>16.092400000000001</v>
      </c>
      <c r="G16" s="119" t="s">
        <v>251</v>
      </c>
      <c r="H16" s="119" t="s">
        <v>1094</v>
      </c>
    </row>
    <row r="17" spans="1:8">
      <c r="A17" s="72"/>
      <c r="B17" s="72"/>
      <c r="C17" s="72"/>
      <c r="D17" s="72"/>
      <c r="E17" s="72"/>
      <c r="F17" s="72"/>
      <c r="G17" s="72"/>
      <c r="H17" s="72"/>
    </row>
    <row r="18" spans="1:8">
      <c r="A18" s="72"/>
      <c r="B18" s="72"/>
      <c r="C18" s="72"/>
      <c r="D18" s="72"/>
      <c r="E18" s="72"/>
      <c r="F18" s="72"/>
      <c r="G18" s="72"/>
      <c r="H18" s="72"/>
    </row>
    <row r="19" spans="1:8" ht="30">
      <c r="A19" s="120" t="s">
        <v>1095</v>
      </c>
      <c r="B19" s="72"/>
      <c r="C19" s="72"/>
      <c r="D19" s="72"/>
      <c r="E19" s="72"/>
      <c r="F19" s="72"/>
      <c r="G19" s="72"/>
      <c r="H19" s="72"/>
    </row>
    <row r="20" spans="1:8" ht="28.5">
      <c r="A20" s="72" t="s">
        <v>1096</v>
      </c>
      <c r="B20" s="72">
        <v>18</v>
      </c>
      <c r="C20" s="72">
        <v>8</v>
      </c>
      <c r="D20" s="72">
        <v>5</v>
      </c>
      <c r="E20" s="72">
        <v>4</v>
      </c>
      <c r="F20" s="72">
        <v>4</v>
      </c>
      <c r="G20" s="72" t="s">
        <v>251</v>
      </c>
      <c r="H20" s="72" t="s">
        <v>1074</v>
      </c>
    </row>
    <row r="21" spans="1:8" ht="28.5">
      <c r="A21" s="72" t="s">
        <v>1097</v>
      </c>
      <c r="B21" s="72">
        <v>5</v>
      </c>
      <c r="C21" s="72">
        <v>2</v>
      </c>
      <c r="D21" s="72">
        <v>1</v>
      </c>
      <c r="E21" s="72">
        <v>1</v>
      </c>
      <c r="F21" s="72">
        <v>1</v>
      </c>
      <c r="G21" s="72" t="s">
        <v>251</v>
      </c>
      <c r="H21" s="72" t="s">
        <v>1098</v>
      </c>
    </row>
    <row r="22" spans="1:8" ht="28.5">
      <c r="A22" s="72" t="s">
        <v>1099</v>
      </c>
      <c r="B22" s="72">
        <v>4</v>
      </c>
      <c r="C22" s="72">
        <v>1.5</v>
      </c>
      <c r="D22" s="72">
        <v>1</v>
      </c>
      <c r="E22" s="72">
        <v>0.8</v>
      </c>
      <c r="F22" s="72">
        <v>0.8</v>
      </c>
      <c r="G22" s="72" t="s">
        <v>251</v>
      </c>
      <c r="H22" s="72" t="s">
        <v>1100</v>
      </c>
    </row>
    <row r="23" spans="1:8">
      <c r="A23" s="72" t="s">
        <v>1101</v>
      </c>
      <c r="B23" s="72">
        <v>2</v>
      </c>
      <c r="C23" s="72">
        <v>1</v>
      </c>
      <c r="D23" s="72">
        <v>0.5</v>
      </c>
      <c r="E23" s="72">
        <v>0.5</v>
      </c>
      <c r="F23" s="72">
        <v>0.5</v>
      </c>
      <c r="G23" s="72" t="s">
        <v>251</v>
      </c>
      <c r="H23" s="72" t="s">
        <v>1102</v>
      </c>
    </row>
    <row r="24" spans="1:8" ht="28.5">
      <c r="A24" s="72" t="s">
        <v>1103</v>
      </c>
      <c r="B24" s="72">
        <v>1.5</v>
      </c>
      <c r="C24" s="72">
        <v>0.8</v>
      </c>
      <c r="D24" s="72">
        <v>0.6</v>
      </c>
      <c r="E24" s="72">
        <v>0.6</v>
      </c>
      <c r="F24" s="72">
        <v>0.6</v>
      </c>
      <c r="G24" s="72" t="s">
        <v>251</v>
      </c>
      <c r="H24" s="72" t="s">
        <v>1104</v>
      </c>
    </row>
    <row r="25" spans="1:8" ht="28.5">
      <c r="A25" s="72" t="s">
        <v>1105</v>
      </c>
      <c r="B25" s="72">
        <v>1</v>
      </c>
      <c r="C25" s="72">
        <v>0.6</v>
      </c>
      <c r="D25" s="72">
        <v>0.4</v>
      </c>
      <c r="E25" s="72">
        <v>0.3</v>
      </c>
      <c r="F25" s="72">
        <v>0.3</v>
      </c>
      <c r="G25" s="72" t="s">
        <v>251</v>
      </c>
      <c r="H25" s="72" t="s">
        <v>1106</v>
      </c>
    </row>
    <row r="26" spans="1:8">
      <c r="A26" s="72"/>
      <c r="B26" s="72"/>
      <c r="C26" s="72"/>
      <c r="D26" s="72"/>
      <c r="E26" s="72"/>
      <c r="F26" s="72"/>
      <c r="G26" s="72"/>
      <c r="H26" s="72"/>
    </row>
    <row r="27" spans="1:8" ht="27.75" customHeight="1">
      <c r="A27" s="119" t="s">
        <v>1107</v>
      </c>
      <c r="B27" s="119">
        <f>SUM(B20:B25)</f>
        <v>31.5</v>
      </c>
      <c r="C27" s="119">
        <f>SUM(C20:C25)</f>
        <v>13.9</v>
      </c>
      <c r="D27" s="119">
        <f>SUM(D20:D25)</f>
        <v>8.5</v>
      </c>
      <c r="E27" s="119">
        <f>SUM(E20:E25)</f>
        <v>7.1999999999999993</v>
      </c>
      <c r="F27" s="119">
        <f>SUM(F20:F25)</f>
        <v>7.1999999999999993</v>
      </c>
      <c r="G27" s="119" t="s">
        <v>251</v>
      </c>
      <c r="H27" s="119" t="s">
        <v>1108</v>
      </c>
    </row>
  </sheetData>
  <mergeCells count="2">
    <mergeCell ref="A2:H2"/>
    <mergeCell ref="A1:H1"/>
  </mergeCells>
  <pageMargins left="0.75" right="0.75" top="1" bottom="1" header="0.5" footer="0.5"/>
  <pageSetup fitToHeight="0" orientation="landscape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>
    <pageSetUpPr fitToPage="1"/>
  </sheetPr>
  <dimension ref="A1:H33"/>
  <sheetViews>
    <sheetView showGridLines="0" workbookViewId="0">
      <pane ySplit="4" topLeftCell="A5" activePane="bottomLeft" state="frozen"/>
      <selection pane="bottomLeft" sqref="A1:XFD1048576"/>
    </sheetView>
  </sheetViews>
  <sheetFormatPr defaultColWidth="8.875" defaultRowHeight="14.25"/>
  <cols>
    <col min="1" max="1" width="6" style="1" customWidth="1"/>
    <col min="2" max="2" width="48" style="1" customWidth="1"/>
    <col min="3" max="3" width="18" style="1" customWidth="1"/>
    <col min="4" max="4" width="52" style="1" customWidth="1"/>
    <col min="5" max="5" width="32" style="1" customWidth="1"/>
    <col min="6" max="6" width="38" style="1" customWidth="1"/>
    <col min="7" max="7" width="18" style="1" customWidth="1"/>
    <col min="8" max="16384" width="8.875" style="1"/>
  </cols>
  <sheetData>
    <row r="1" spans="1:8" ht="30" customHeight="1">
      <c r="A1" s="141" t="s">
        <v>1109</v>
      </c>
      <c r="B1" s="129"/>
      <c r="C1" s="129"/>
      <c r="D1" s="129"/>
      <c r="E1" s="129"/>
      <c r="F1" s="129"/>
      <c r="G1" s="129"/>
      <c r="H1" s="129"/>
    </row>
    <row r="2" spans="1:8" ht="36" customHeight="1">
      <c r="A2" s="140" t="s">
        <v>1110</v>
      </c>
      <c r="B2" s="129"/>
      <c r="C2" s="129"/>
      <c r="D2" s="129"/>
      <c r="E2" s="129"/>
      <c r="F2" s="129"/>
      <c r="G2" s="129"/>
      <c r="H2" s="129"/>
    </row>
    <row r="4" spans="1:8" ht="15">
      <c r="A4" s="121" t="s">
        <v>1111</v>
      </c>
      <c r="B4" s="121" t="s">
        <v>1112</v>
      </c>
      <c r="C4" s="121" t="s">
        <v>1113</v>
      </c>
      <c r="D4" s="121" t="s">
        <v>1114</v>
      </c>
      <c r="E4" s="121" t="s">
        <v>1115</v>
      </c>
      <c r="F4" s="121" t="s">
        <v>1116</v>
      </c>
      <c r="G4" s="121" t="s">
        <v>390</v>
      </c>
    </row>
    <row r="5" spans="1:8" ht="28.5">
      <c r="A5" s="72">
        <v>1</v>
      </c>
      <c r="B5" s="72" t="s">
        <v>1117</v>
      </c>
      <c r="C5" s="72" t="s">
        <v>142</v>
      </c>
      <c r="D5" s="72" t="s">
        <v>1118</v>
      </c>
      <c r="E5" s="72" t="s">
        <v>439</v>
      </c>
      <c r="F5" s="72" t="s">
        <v>1119</v>
      </c>
      <c r="G5" s="72" t="s">
        <v>1120</v>
      </c>
    </row>
    <row r="6" spans="1:8" ht="28.5">
      <c r="A6" s="72">
        <v>2</v>
      </c>
      <c r="B6" s="72" t="s">
        <v>1121</v>
      </c>
      <c r="C6" s="72" t="s">
        <v>142</v>
      </c>
      <c r="D6" s="72" t="s">
        <v>1122</v>
      </c>
      <c r="E6" s="72" t="s">
        <v>439</v>
      </c>
      <c r="F6" s="72" t="s">
        <v>1123</v>
      </c>
      <c r="G6" s="72" t="s">
        <v>1120</v>
      </c>
    </row>
    <row r="7" spans="1:8" ht="27.75" customHeight="1">
      <c r="A7" s="72">
        <v>3</v>
      </c>
      <c r="B7" s="72" t="s">
        <v>1124</v>
      </c>
      <c r="C7" s="72" t="s">
        <v>142</v>
      </c>
      <c r="D7" s="72" t="s">
        <v>1125</v>
      </c>
      <c r="E7" s="72" t="s">
        <v>1126</v>
      </c>
      <c r="F7" s="72" t="s">
        <v>1127</v>
      </c>
      <c r="G7" s="72" t="s">
        <v>1128</v>
      </c>
    </row>
    <row r="8" spans="1:8" ht="27.75" customHeight="1">
      <c r="A8" s="72">
        <v>4</v>
      </c>
      <c r="B8" s="72" t="s">
        <v>1129</v>
      </c>
      <c r="C8" s="72" t="s">
        <v>1130</v>
      </c>
      <c r="D8" s="72" t="s">
        <v>1131</v>
      </c>
      <c r="E8" s="72" t="s">
        <v>1132</v>
      </c>
      <c r="F8" s="72" t="s">
        <v>1133</v>
      </c>
      <c r="G8" s="72" t="s">
        <v>1134</v>
      </c>
    </row>
    <row r="9" spans="1:8">
      <c r="A9" s="72">
        <v>5</v>
      </c>
      <c r="B9" s="72" t="s">
        <v>1135</v>
      </c>
      <c r="C9" s="72" t="s">
        <v>142</v>
      </c>
      <c r="D9" s="72" t="s">
        <v>1136</v>
      </c>
      <c r="E9" s="72" t="s">
        <v>1137</v>
      </c>
      <c r="F9" s="72" t="s">
        <v>1138</v>
      </c>
      <c r="G9" s="72" t="s">
        <v>1139</v>
      </c>
    </row>
    <row r="10" spans="1:8" ht="27.75" customHeight="1">
      <c r="A10" s="72">
        <v>6</v>
      </c>
      <c r="B10" s="72" t="s">
        <v>1140</v>
      </c>
      <c r="C10" s="72" t="s">
        <v>142</v>
      </c>
      <c r="D10" s="72" t="s">
        <v>1141</v>
      </c>
      <c r="E10" s="72" t="s">
        <v>1142</v>
      </c>
      <c r="F10" s="72" t="s">
        <v>1143</v>
      </c>
      <c r="G10" s="72" t="s">
        <v>1128</v>
      </c>
    </row>
    <row r="11" spans="1:8" ht="28.5">
      <c r="A11" s="72">
        <v>7</v>
      </c>
      <c r="B11" s="72" t="s">
        <v>1144</v>
      </c>
      <c r="C11" s="72" t="s">
        <v>142</v>
      </c>
      <c r="D11" s="72" t="s">
        <v>1145</v>
      </c>
      <c r="E11" s="72" t="s">
        <v>1137</v>
      </c>
      <c r="F11" s="72" t="s">
        <v>1146</v>
      </c>
      <c r="G11" s="72" t="s">
        <v>1139</v>
      </c>
    </row>
    <row r="12" spans="1:8" ht="28.5">
      <c r="A12" s="72">
        <v>8</v>
      </c>
      <c r="B12" s="72" t="s">
        <v>1147</v>
      </c>
      <c r="C12" s="72" t="s">
        <v>142</v>
      </c>
      <c r="D12" s="72" t="s">
        <v>1148</v>
      </c>
      <c r="E12" s="72" t="s">
        <v>1137</v>
      </c>
      <c r="F12" s="72" t="s">
        <v>1149</v>
      </c>
      <c r="G12" s="72" t="s">
        <v>1139</v>
      </c>
    </row>
    <row r="13" spans="1:8">
      <c r="A13" s="72">
        <v>9</v>
      </c>
      <c r="B13" s="72" t="s">
        <v>1150</v>
      </c>
      <c r="C13" s="72" t="s">
        <v>142</v>
      </c>
      <c r="D13" s="72" t="s">
        <v>1151</v>
      </c>
      <c r="E13" s="72" t="s">
        <v>1137</v>
      </c>
      <c r="F13" s="72" t="s">
        <v>1152</v>
      </c>
      <c r="G13" s="72" t="s">
        <v>1139</v>
      </c>
    </row>
    <row r="14" spans="1:8" ht="28.5">
      <c r="A14" s="72">
        <v>10</v>
      </c>
      <c r="B14" s="72" t="s">
        <v>1153</v>
      </c>
      <c r="C14" s="72" t="s">
        <v>142</v>
      </c>
      <c r="D14" s="72" t="s">
        <v>1154</v>
      </c>
      <c r="E14" s="72" t="s">
        <v>1137</v>
      </c>
      <c r="F14" s="72" t="s">
        <v>1155</v>
      </c>
      <c r="G14" s="72" t="s">
        <v>1139</v>
      </c>
    </row>
    <row r="15" spans="1:8">
      <c r="A15" s="72">
        <v>11</v>
      </c>
      <c r="B15" s="72" t="s">
        <v>1156</v>
      </c>
      <c r="C15" s="72" t="s">
        <v>142</v>
      </c>
      <c r="D15" s="72" t="s">
        <v>1157</v>
      </c>
      <c r="E15" s="72" t="s">
        <v>1137</v>
      </c>
      <c r="F15" s="72" t="s">
        <v>1158</v>
      </c>
      <c r="G15" s="72" t="s">
        <v>1139</v>
      </c>
    </row>
    <row r="16" spans="1:8">
      <c r="A16" s="72">
        <v>12</v>
      </c>
      <c r="B16" s="72" t="s">
        <v>1159</v>
      </c>
      <c r="C16" s="72" t="s">
        <v>1160</v>
      </c>
      <c r="D16" s="72" t="s">
        <v>1161</v>
      </c>
      <c r="E16" s="72" t="s">
        <v>1137</v>
      </c>
      <c r="F16" s="72" t="s">
        <v>1162</v>
      </c>
      <c r="G16" s="72" t="s">
        <v>1120</v>
      </c>
    </row>
    <row r="17" spans="1:8" ht="28.5">
      <c r="A17" s="72">
        <v>13</v>
      </c>
      <c r="B17" s="72" t="s">
        <v>1163</v>
      </c>
      <c r="C17" s="72" t="s">
        <v>142</v>
      </c>
      <c r="D17" s="72" t="s">
        <v>1164</v>
      </c>
      <c r="E17" s="72" t="s">
        <v>1137</v>
      </c>
      <c r="F17" s="72" t="s">
        <v>1165</v>
      </c>
      <c r="G17" s="72" t="s">
        <v>1120</v>
      </c>
    </row>
    <row r="18" spans="1:8">
      <c r="A18" s="72">
        <v>14</v>
      </c>
      <c r="B18" s="72" t="s">
        <v>1166</v>
      </c>
      <c r="C18" s="72" t="s">
        <v>142</v>
      </c>
      <c r="D18" s="72" t="s">
        <v>1167</v>
      </c>
      <c r="E18" s="72" t="s">
        <v>1137</v>
      </c>
      <c r="F18" s="72" t="s">
        <v>1168</v>
      </c>
      <c r="G18" s="72" t="s">
        <v>1139</v>
      </c>
    </row>
    <row r="19" spans="1:8" ht="28.5">
      <c r="A19" s="72">
        <v>15</v>
      </c>
      <c r="B19" s="72" t="s">
        <v>1169</v>
      </c>
      <c r="C19" s="72" t="s">
        <v>1130</v>
      </c>
      <c r="D19" s="72" t="s">
        <v>1170</v>
      </c>
      <c r="E19" s="72" t="s">
        <v>1137</v>
      </c>
      <c r="F19" s="72" t="s">
        <v>1171</v>
      </c>
      <c r="G19" s="72" t="s">
        <v>1172</v>
      </c>
    </row>
    <row r="20" spans="1:8" ht="28.5">
      <c r="A20" s="72">
        <v>16</v>
      </c>
      <c r="B20" s="72" t="s">
        <v>1173</v>
      </c>
      <c r="C20" s="72" t="s">
        <v>1174</v>
      </c>
      <c r="D20" s="72" t="s">
        <v>1175</v>
      </c>
      <c r="E20" s="72" t="s">
        <v>1137</v>
      </c>
      <c r="F20" s="72" t="s">
        <v>1176</v>
      </c>
      <c r="G20" s="72" t="s">
        <v>1139</v>
      </c>
    </row>
    <row r="21" spans="1:8">
      <c r="A21" s="72">
        <v>17</v>
      </c>
      <c r="B21" s="72" t="s">
        <v>1177</v>
      </c>
      <c r="C21" s="72" t="s">
        <v>1178</v>
      </c>
      <c r="D21" s="72" t="s">
        <v>1179</v>
      </c>
      <c r="E21" s="72" t="s">
        <v>444</v>
      </c>
      <c r="F21" s="72" t="s">
        <v>1180</v>
      </c>
      <c r="G21" s="72" t="s">
        <v>1128</v>
      </c>
    </row>
    <row r="22" spans="1:8" ht="28.5">
      <c r="A22" s="72">
        <v>18</v>
      </c>
      <c r="B22" s="72" t="s">
        <v>1181</v>
      </c>
      <c r="C22" s="72" t="s">
        <v>1160</v>
      </c>
      <c r="D22" s="72" t="s">
        <v>1182</v>
      </c>
      <c r="E22" s="72" t="s">
        <v>442</v>
      </c>
      <c r="F22" s="72" t="s">
        <v>1183</v>
      </c>
      <c r="G22" s="72" t="s">
        <v>1134</v>
      </c>
    </row>
    <row r="23" spans="1:8">
      <c r="A23" s="72">
        <v>19</v>
      </c>
      <c r="B23" s="72" t="s">
        <v>1184</v>
      </c>
      <c r="C23" s="72" t="s">
        <v>129</v>
      </c>
      <c r="D23" s="72" t="s">
        <v>1185</v>
      </c>
      <c r="E23" s="72" t="s">
        <v>1186</v>
      </c>
      <c r="F23" s="72" t="s">
        <v>1187</v>
      </c>
      <c r="G23" s="72" t="s">
        <v>1128</v>
      </c>
    </row>
    <row r="24" spans="1:8">
      <c r="A24" s="72">
        <v>20</v>
      </c>
      <c r="B24" s="72" t="s">
        <v>1188</v>
      </c>
      <c r="C24" s="72" t="s">
        <v>129</v>
      </c>
      <c r="D24" s="72" t="s">
        <v>1189</v>
      </c>
      <c r="E24" s="72" t="s">
        <v>442</v>
      </c>
      <c r="F24" s="72" t="s">
        <v>1190</v>
      </c>
      <c r="G24" s="72" t="s">
        <v>1128</v>
      </c>
    </row>
    <row r="26" spans="1:8" ht="15">
      <c r="A26" s="142" t="s">
        <v>1191</v>
      </c>
      <c r="B26" s="129"/>
      <c r="C26" s="129"/>
      <c r="D26" s="129"/>
      <c r="E26" s="129"/>
      <c r="F26" s="129"/>
      <c r="G26" s="129"/>
      <c r="H26" s="129"/>
    </row>
    <row r="27" spans="1:8" ht="45">
      <c r="A27" s="122" t="s">
        <v>1015</v>
      </c>
      <c r="B27" s="122" t="s">
        <v>1192</v>
      </c>
      <c r="C27" s="122" t="s">
        <v>1193</v>
      </c>
      <c r="D27" s="122" t="s">
        <v>1194</v>
      </c>
    </row>
    <row r="28" spans="1:8" ht="36" customHeight="1">
      <c r="A28" s="123" t="s">
        <v>1195</v>
      </c>
      <c r="B28" s="123" t="s">
        <v>1196</v>
      </c>
      <c r="C28" s="123" t="s">
        <v>1197</v>
      </c>
      <c r="D28" s="123" t="s">
        <v>1198</v>
      </c>
    </row>
    <row r="29" spans="1:8" ht="24.75" customHeight="1">
      <c r="A29" s="124" t="s">
        <v>1199</v>
      </c>
      <c r="B29" s="124" t="s">
        <v>1200</v>
      </c>
      <c r="C29" s="124" t="s">
        <v>1201</v>
      </c>
      <c r="D29" s="124" t="s">
        <v>1202</v>
      </c>
    </row>
    <row r="30" spans="1:8" ht="36" customHeight="1">
      <c r="A30" s="123" t="s">
        <v>1203</v>
      </c>
      <c r="B30" s="123" t="s">
        <v>1204</v>
      </c>
      <c r="C30" s="123" t="s">
        <v>1205</v>
      </c>
      <c r="D30" s="123" t="s">
        <v>1206</v>
      </c>
    </row>
    <row r="31" spans="1:8" ht="59.25" customHeight="1">
      <c r="A31" s="124" t="s">
        <v>1207</v>
      </c>
      <c r="B31" s="124" t="s">
        <v>1208</v>
      </c>
      <c r="C31" s="124" t="s">
        <v>1209</v>
      </c>
      <c r="D31" s="124" t="s">
        <v>1210</v>
      </c>
    </row>
    <row r="32" spans="1:8" ht="47.25" customHeight="1">
      <c r="A32" s="123" t="s">
        <v>1211</v>
      </c>
      <c r="B32" s="123" t="s">
        <v>1212</v>
      </c>
      <c r="C32" s="123" t="s">
        <v>1213</v>
      </c>
      <c r="D32" s="123" t="s">
        <v>1202</v>
      </c>
    </row>
    <row r="33" spans="1:4" ht="93.75" customHeight="1">
      <c r="A33" s="124" t="s">
        <v>1214</v>
      </c>
      <c r="B33" s="124" t="s">
        <v>1215</v>
      </c>
      <c r="C33" s="124" t="s">
        <v>1216</v>
      </c>
      <c r="D33" s="124" t="s">
        <v>1217</v>
      </c>
    </row>
  </sheetData>
  <mergeCells count="3">
    <mergeCell ref="A26:H26"/>
    <mergeCell ref="A2:H2"/>
    <mergeCell ref="A1:H1"/>
  </mergeCells>
  <pageMargins left="0.75" right="0.75" top="1" bottom="1" header="0.5" footer="0.5"/>
  <pageSetup fitToHeight="0" orientation="landscape"/>
  <tableParts count="1">
    <tablePart r:id="rId1"/>
  </tableParts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>
    <pageSetUpPr fitToPage="1"/>
  </sheetPr>
  <dimension ref="A1:H11"/>
  <sheetViews>
    <sheetView showGridLines="0" workbookViewId="0">
      <pane xSplit="1" ySplit="4" topLeftCell="B5" activePane="bottomRight" state="frozen"/>
      <selection pane="topRight"/>
      <selection pane="bottomLeft"/>
      <selection pane="bottomRight" sqref="A1:XFD1048576"/>
    </sheetView>
  </sheetViews>
  <sheetFormatPr defaultColWidth="8.875" defaultRowHeight="14.25"/>
  <cols>
    <col min="1" max="1" width="42" style="1" customWidth="1"/>
    <col min="2" max="7" width="18" style="1" customWidth="1"/>
    <col min="8" max="8" width="48" style="1" customWidth="1"/>
    <col min="9" max="16384" width="8.875" style="1"/>
  </cols>
  <sheetData>
    <row r="1" spans="1:8" ht="30" customHeight="1">
      <c r="A1" s="141" t="s">
        <v>1218</v>
      </c>
      <c r="B1" s="129"/>
      <c r="C1" s="129"/>
      <c r="D1" s="129"/>
      <c r="E1" s="129"/>
      <c r="F1" s="129"/>
      <c r="G1" s="129"/>
      <c r="H1" s="129"/>
    </row>
    <row r="2" spans="1:8" ht="36" customHeight="1">
      <c r="A2" s="140" t="s">
        <v>1219</v>
      </c>
      <c r="B2" s="129"/>
      <c r="C2" s="129"/>
      <c r="D2" s="129"/>
      <c r="E2" s="129"/>
      <c r="F2" s="129"/>
      <c r="G2" s="129"/>
      <c r="H2" s="129"/>
    </row>
    <row r="4" spans="1:8" ht="41.25" customHeight="1">
      <c r="A4" s="118" t="s">
        <v>641</v>
      </c>
      <c r="B4" s="118" t="s">
        <v>224</v>
      </c>
      <c r="C4" s="118" t="s">
        <v>225</v>
      </c>
      <c r="D4" s="118" t="s">
        <v>226</v>
      </c>
      <c r="E4" s="118" t="s">
        <v>227</v>
      </c>
      <c r="F4" s="118" t="s">
        <v>228</v>
      </c>
      <c r="G4" s="118" t="s">
        <v>123</v>
      </c>
      <c r="H4" s="118" t="s">
        <v>1220</v>
      </c>
    </row>
    <row r="5" spans="1:8">
      <c r="A5" s="72" t="s">
        <v>330</v>
      </c>
      <c r="B5" s="72">
        <f>Assumptions!B57</f>
        <v>60000</v>
      </c>
      <c r="C5" s="72">
        <f>Assumptions!C57</f>
        <v>95000</v>
      </c>
      <c r="D5" s="72">
        <f>Assumptions!D57</f>
        <v>140000</v>
      </c>
      <c r="E5" s="72">
        <f>Assumptions!E57</f>
        <v>200000</v>
      </c>
      <c r="F5" s="72">
        <f>Assumptions!F57</f>
        <v>260000</v>
      </c>
      <c r="G5" s="72" t="s">
        <v>1221</v>
      </c>
      <c r="H5" s="72" t="s">
        <v>1222</v>
      </c>
    </row>
    <row r="6" spans="1:8">
      <c r="A6" s="72" t="s">
        <v>235</v>
      </c>
      <c r="B6" s="72">
        <f>Assumptions!B59</f>
        <v>800000</v>
      </c>
      <c r="C6" s="72">
        <f>Assumptions!C59</f>
        <v>900000</v>
      </c>
      <c r="D6" s="72">
        <f>Assumptions!D59</f>
        <v>1000000</v>
      </c>
      <c r="E6" s="72">
        <f>Assumptions!E59</f>
        <v>1100000</v>
      </c>
      <c r="F6" s="72">
        <f>Assumptions!F59</f>
        <v>1200000</v>
      </c>
      <c r="G6" s="72" t="s">
        <v>1223</v>
      </c>
      <c r="H6" s="72" t="s">
        <v>1222</v>
      </c>
    </row>
    <row r="7" spans="1:8">
      <c r="A7" s="72" t="s">
        <v>1224</v>
      </c>
      <c r="B7" s="72">
        <v>30000000</v>
      </c>
      <c r="C7" s="72">
        <v>30000000</v>
      </c>
      <c r="D7" s="72">
        <v>30000000</v>
      </c>
      <c r="E7" s="72">
        <v>30000000</v>
      </c>
      <c r="F7" s="72">
        <v>30000000</v>
      </c>
      <c r="G7" s="72" t="s">
        <v>1223</v>
      </c>
      <c r="H7" s="72" t="s">
        <v>1225</v>
      </c>
    </row>
    <row r="8" spans="1:8">
      <c r="A8" s="72" t="s">
        <v>1226</v>
      </c>
      <c r="B8" s="72">
        <f>B7-B6</f>
        <v>29200000</v>
      </c>
      <c r="C8" s="72">
        <f>C7-C6</f>
        <v>29100000</v>
      </c>
      <c r="D8" s="72">
        <f>D7-D6</f>
        <v>29000000</v>
      </c>
      <c r="E8" s="72">
        <f>E7-E6</f>
        <v>28900000</v>
      </c>
      <c r="F8" s="72">
        <f>F7-F6</f>
        <v>28800000</v>
      </c>
      <c r="G8" s="72" t="s">
        <v>1223</v>
      </c>
      <c r="H8" s="72" t="s">
        <v>1227</v>
      </c>
    </row>
    <row r="9" spans="1:8" ht="28.5">
      <c r="A9" s="72" t="s">
        <v>1228</v>
      </c>
      <c r="B9" s="72" t="str">
        <f>IF(B6&lt;=B7,"OK","Check")</f>
        <v>OK</v>
      </c>
      <c r="C9" s="72" t="str">
        <f>IF(C6&lt;=C7,"OK","Check")</f>
        <v>OK</v>
      </c>
      <c r="D9" s="72" t="str">
        <f>IF(D6&lt;=D7,"OK","Check")</f>
        <v>OK</v>
      </c>
      <c r="E9" s="72" t="str">
        <f>IF(E6&lt;=E7,"OK","Check")</f>
        <v>OK</v>
      </c>
      <c r="F9" s="72" t="str">
        <f>IF(F6&lt;=F7,"OK","Check")</f>
        <v>OK</v>
      </c>
      <c r="G9" s="72" t="s">
        <v>1229</v>
      </c>
      <c r="H9" s="72" t="s">
        <v>1230</v>
      </c>
    </row>
    <row r="10" spans="1:8" ht="28.5">
      <c r="A10" s="72" t="s">
        <v>1231</v>
      </c>
      <c r="B10" s="72">
        <v>50000000</v>
      </c>
      <c r="C10" s="72">
        <v>50000000</v>
      </c>
      <c r="D10" s="72">
        <v>50000000</v>
      </c>
      <c r="E10" s="72">
        <v>50000000</v>
      </c>
      <c r="F10" s="72">
        <v>50000000</v>
      </c>
      <c r="G10" s="72" t="s">
        <v>1223</v>
      </c>
      <c r="H10" s="72" t="s">
        <v>1232</v>
      </c>
    </row>
    <row r="11" spans="1:8" ht="28.5">
      <c r="A11" s="72" t="s">
        <v>1233</v>
      </c>
      <c r="B11" s="72" t="str">
        <f>IF(B6&lt;=B10,"OK","Check")</f>
        <v>OK</v>
      </c>
      <c r="C11" s="72" t="str">
        <f>IF(C6&lt;=C10,"OK","Check")</f>
        <v>OK</v>
      </c>
      <c r="D11" s="72" t="str">
        <f>IF(D6&lt;=D10,"OK","Check")</f>
        <v>OK</v>
      </c>
      <c r="E11" s="72" t="str">
        <f>IF(E6&lt;=E10,"OK","Check")</f>
        <v>OK</v>
      </c>
      <c r="F11" s="72" t="str">
        <f>IF(F6&lt;=F10,"OK","Check")</f>
        <v>OK</v>
      </c>
      <c r="G11" s="72" t="s">
        <v>1229</v>
      </c>
      <c r="H11" s="72" t="s">
        <v>1234</v>
      </c>
    </row>
  </sheetData>
  <mergeCells count="2">
    <mergeCell ref="A2:H2"/>
    <mergeCell ref="A1:H1"/>
  </mergeCells>
  <pageMargins left="0.75" right="0.75" top="1" bottom="1" header="0.5" footer="0.5"/>
  <pageSetup fitToHeight="0" orientation="landscape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>
    <pageSetUpPr fitToPage="1"/>
  </sheetPr>
  <dimension ref="A1:H9"/>
  <sheetViews>
    <sheetView showGridLines="0" workbookViewId="0">
      <pane ySplit="4" topLeftCell="A5" activePane="bottomLeft" state="frozen"/>
      <selection pane="bottomLeft" activeCell="D14" sqref="D14"/>
    </sheetView>
  </sheetViews>
  <sheetFormatPr defaultColWidth="8.875" defaultRowHeight="14.25"/>
  <cols>
    <col min="1" max="1" width="32" style="1" customWidth="1"/>
    <col min="2" max="2" width="16" style="1" customWidth="1"/>
    <col min="3" max="3" width="45" style="1" customWidth="1"/>
    <col min="4" max="4" width="36" style="1" customWidth="1"/>
    <col min="5" max="5" width="35" style="1" customWidth="1"/>
    <col min="6" max="6" width="16" style="1" customWidth="1"/>
    <col min="7" max="7" width="52" style="1" customWidth="1"/>
    <col min="8" max="16384" width="8.875" style="1"/>
  </cols>
  <sheetData>
    <row r="1" spans="1:8" ht="30" customHeight="1">
      <c r="A1" s="141" t="s">
        <v>1235</v>
      </c>
      <c r="B1" s="129"/>
      <c r="C1" s="129"/>
      <c r="D1" s="129"/>
      <c r="E1" s="129"/>
      <c r="F1" s="129"/>
      <c r="G1" s="129"/>
      <c r="H1" s="129"/>
    </row>
    <row r="2" spans="1:8" ht="36" customHeight="1">
      <c r="A2" s="140" t="s">
        <v>1236</v>
      </c>
      <c r="B2" s="129"/>
      <c r="C2" s="129"/>
      <c r="D2" s="129"/>
      <c r="E2" s="129"/>
      <c r="F2" s="129"/>
      <c r="G2" s="129"/>
      <c r="H2" s="129"/>
    </row>
    <row r="4" spans="1:8" ht="15">
      <c r="A4" s="121" t="s">
        <v>1015</v>
      </c>
      <c r="B4" s="121" t="s">
        <v>1237</v>
      </c>
      <c r="C4" s="121" t="s">
        <v>1238</v>
      </c>
      <c r="D4" s="121" t="s">
        <v>1239</v>
      </c>
      <c r="E4" s="121" t="s">
        <v>1240</v>
      </c>
      <c r="F4" s="121" t="s">
        <v>390</v>
      </c>
      <c r="G4" s="121" t="s">
        <v>1220</v>
      </c>
    </row>
    <row r="5" spans="1:8" ht="28.5">
      <c r="A5" s="72" t="s">
        <v>1241</v>
      </c>
      <c r="B5" s="72" t="s">
        <v>895</v>
      </c>
      <c r="C5" s="72" t="s">
        <v>1242</v>
      </c>
      <c r="D5" s="72" t="s">
        <v>1243</v>
      </c>
      <c r="E5" s="72" t="s">
        <v>1244</v>
      </c>
      <c r="F5" s="72" t="s">
        <v>418</v>
      </c>
      <c r="G5" s="72" t="s">
        <v>1245</v>
      </c>
    </row>
    <row r="6" spans="1:8" ht="28.5">
      <c r="A6" s="72" t="s">
        <v>1246</v>
      </c>
      <c r="B6" s="72" t="s">
        <v>1247</v>
      </c>
      <c r="C6" s="72" t="s">
        <v>1248</v>
      </c>
      <c r="D6" s="72" t="s">
        <v>1249</v>
      </c>
      <c r="E6" s="72" t="s">
        <v>1250</v>
      </c>
      <c r="F6" s="72" t="s">
        <v>418</v>
      </c>
      <c r="G6" s="72" t="s">
        <v>1251</v>
      </c>
    </row>
    <row r="7" spans="1:8" ht="28.5">
      <c r="A7" s="72" t="s">
        <v>1252</v>
      </c>
      <c r="B7" s="72" t="s">
        <v>895</v>
      </c>
      <c r="C7" s="72" t="s">
        <v>1242</v>
      </c>
      <c r="D7" s="72" t="s">
        <v>1253</v>
      </c>
      <c r="E7" s="72" t="s">
        <v>1254</v>
      </c>
      <c r="F7" s="72" t="s">
        <v>418</v>
      </c>
      <c r="G7" s="72" t="s">
        <v>1255</v>
      </c>
    </row>
    <row r="8" spans="1:8" ht="28.5">
      <c r="A8" s="72" t="s">
        <v>1256</v>
      </c>
      <c r="B8" s="72" t="s">
        <v>1257</v>
      </c>
      <c r="C8" s="72" t="s">
        <v>1258</v>
      </c>
      <c r="D8" s="72" t="s">
        <v>439</v>
      </c>
      <c r="E8" s="72" t="s">
        <v>1259</v>
      </c>
      <c r="F8" s="72" t="s">
        <v>1260</v>
      </c>
      <c r="G8" s="72" t="s">
        <v>1261</v>
      </c>
    </row>
    <row r="9" spans="1:8">
      <c r="A9" s="72" t="s">
        <v>1262</v>
      </c>
      <c r="B9" s="72" t="s">
        <v>895</v>
      </c>
      <c r="C9" s="72" t="s">
        <v>1263</v>
      </c>
      <c r="D9" s="72" t="s">
        <v>442</v>
      </c>
      <c r="E9" s="72" t="s">
        <v>1264</v>
      </c>
      <c r="F9" s="72" t="s">
        <v>418</v>
      </c>
      <c r="G9" s="72" t="s">
        <v>1265</v>
      </c>
    </row>
  </sheetData>
  <mergeCells count="2">
    <mergeCell ref="A2:H2"/>
    <mergeCell ref="A1:H1"/>
  </mergeCells>
  <pageMargins left="0.75" right="0.75" top="1" bottom="1" header="0.5" footer="0.5"/>
  <pageSetup fitToHeight="0" orientation="landscape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pageSetUpPr fitToPage="1"/>
  </sheetPr>
  <dimension ref="A1:H18"/>
  <sheetViews>
    <sheetView workbookViewId="0">
      <pane ySplit="4" topLeftCell="A5" activePane="bottomLeft" state="frozen"/>
      <selection pane="bottomLeft" sqref="A1:XFD1048576"/>
    </sheetView>
  </sheetViews>
  <sheetFormatPr defaultColWidth="8.875" defaultRowHeight="14.25"/>
  <cols>
    <col min="1" max="2" width="24" style="1" customWidth="1"/>
    <col min="3" max="3" width="22" style="1" customWidth="1"/>
    <col min="4" max="6" width="24" style="1" customWidth="1"/>
    <col min="7" max="7" width="26" style="1" customWidth="1"/>
    <col min="8" max="8" width="30" style="1" customWidth="1"/>
    <col min="9" max="16384" width="8.875" style="1"/>
  </cols>
  <sheetData>
    <row r="1" spans="1:8" ht="27.95" customHeight="1">
      <c r="A1" s="143" t="s">
        <v>1266</v>
      </c>
      <c r="B1" s="129"/>
      <c r="C1" s="129"/>
      <c r="D1" s="129"/>
      <c r="E1" s="129"/>
      <c r="F1" s="129"/>
      <c r="G1" s="129"/>
      <c r="H1" s="129"/>
    </row>
    <row r="2" spans="1:8" ht="32.1" customHeight="1">
      <c r="A2" s="144" t="s">
        <v>1267</v>
      </c>
      <c r="B2" s="129"/>
      <c r="C2" s="129"/>
      <c r="D2" s="129"/>
      <c r="E2" s="129"/>
      <c r="F2" s="129"/>
      <c r="G2" s="129"/>
      <c r="H2" s="129"/>
    </row>
    <row r="3" spans="1:8" ht="15">
      <c r="A3" s="125" t="s">
        <v>1268</v>
      </c>
      <c r="B3" s="146" t="s">
        <v>1269</v>
      </c>
      <c r="C3" s="129"/>
      <c r="D3" s="129"/>
      <c r="E3" s="129"/>
      <c r="F3" s="129"/>
      <c r="G3" s="129"/>
      <c r="H3" s="129"/>
    </row>
    <row r="5" spans="1:8" ht="33.950000000000003" customHeight="1">
      <c r="A5" s="145" t="s">
        <v>1270</v>
      </c>
      <c r="B5" s="129"/>
      <c r="C5" s="129"/>
      <c r="D5" s="129"/>
      <c r="E5" s="129"/>
      <c r="F5" s="129"/>
      <c r="G5" s="129"/>
      <c r="H5" s="129"/>
    </row>
    <row r="6" spans="1:8" ht="33.950000000000003" customHeight="1">
      <c r="A6" s="126" t="s">
        <v>1271</v>
      </c>
      <c r="B6" s="126" t="s">
        <v>1272</v>
      </c>
      <c r="C6" s="126" t="s">
        <v>1273</v>
      </c>
      <c r="D6" s="126" t="s">
        <v>1274</v>
      </c>
      <c r="E6" s="126" t="s">
        <v>1275</v>
      </c>
      <c r="F6" s="126" t="s">
        <v>1276</v>
      </c>
      <c r="G6" s="126" t="s">
        <v>1277</v>
      </c>
      <c r="H6" s="126" t="s">
        <v>1278</v>
      </c>
    </row>
    <row r="7" spans="1:8" ht="33.950000000000003" customHeight="1">
      <c r="A7" s="123" t="s">
        <v>1279</v>
      </c>
      <c r="B7" s="123" t="s">
        <v>1280</v>
      </c>
      <c r="C7" s="123" t="s">
        <v>1281</v>
      </c>
      <c r="D7" s="123" t="s">
        <v>1282</v>
      </c>
      <c r="E7" s="123" t="s">
        <v>1283</v>
      </c>
      <c r="F7" s="123" t="s">
        <v>1284</v>
      </c>
      <c r="G7" s="123" t="s">
        <v>1055</v>
      </c>
      <c r="H7" s="123" t="s">
        <v>1285</v>
      </c>
    </row>
    <row r="8" spans="1:8" ht="33.950000000000003" customHeight="1">
      <c r="A8" s="124" t="s">
        <v>1286</v>
      </c>
      <c r="B8" s="124" t="s">
        <v>1287</v>
      </c>
      <c r="C8" s="124" t="s">
        <v>1288</v>
      </c>
      <c r="D8" s="124" t="s">
        <v>1289</v>
      </c>
      <c r="E8" s="124" t="s">
        <v>1290</v>
      </c>
      <c r="F8" s="124" t="s">
        <v>1291</v>
      </c>
      <c r="G8" s="124" t="s">
        <v>1055</v>
      </c>
      <c r="H8" s="124" t="s">
        <v>1292</v>
      </c>
    </row>
    <row r="9" spans="1:8" ht="33.950000000000003" customHeight="1">
      <c r="A9" s="123" t="s">
        <v>1293</v>
      </c>
      <c r="B9" s="123" t="s">
        <v>1294</v>
      </c>
      <c r="C9" s="123" t="s">
        <v>1295</v>
      </c>
      <c r="D9" s="123" t="s">
        <v>1296</v>
      </c>
      <c r="E9" s="123" t="s">
        <v>1297</v>
      </c>
      <c r="F9" s="123" t="s">
        <v>1298</v>
      </c>
      <c r="G9" s="123" t="s">
        <v>1299</v>
      </c>
      <c r="H9" s="123" t="s">
        <v>1300</v>
      </c>
    </row>
    <row r="10" spans="1:8" ht="33.950000000000003" customHeight="1">
      <c r="A10" s="124" t="s">
        <v>1301</v>
      </c>
      <c r="B10" s="124" t="s">
        <v>1302</v>
      </c>
      <c r="C10" s="124" t="s">
        <v>1303</v>
      </c>
      <c r="D10" s="124" t="s">
        <v>1304</v>
      </c>
      <c r="E10" s="124" t="s">
        <v>1305</v>
      </c>
      <c r="F10" s="124" t="s">
        <v>1306</v>
      </c>
      <c r="G10" s="124" t="s">
        <v>1026</v>
      </c>
      <c r="H10" s="124" t="s">
        <v>1307</v>
      </c>
    </row>
    <row r="11" spans="1:8" ht="33.950000000000003" customHeight="1">
      <c r="A11" s="123" t="s">
        <v>1308</v>
      </c>
      <c r="B11" s="123" t="s">
        <v>1309</v>
      </c>
      <c r="C11" s="123" t="s">
        <v>1310</v>
      </c>
      <c r="D11" s="123" t="s">
        <v>1311</v>
      </c>
      <c r="E11" s="123" t="s">
        <v>1312</v>
      </c>
      <c r="F11" s="123" t="s">
        <v>1313</v>
      </c>
      <c r="G11" s="123" t="s">
        <v>1026</v>
      </c>
      <c r="H11" s="123" t="s">
        <v>1314</v>
      </c>
    </row>
    <row r="12" spans="1:8" ht="33.950000000000003" customHeight="1"/>
    <row r="13" spans="1:8" ht="33.950000000000003" customHeight="1"/>
    <row r="14" spans="1:8" ht="33.950000000000003" customHeight="1">
      <c r="A14" s="145" t="s">
        <v>1315</v>
      </c>
      <c r="B14" s="129"/>
    </row>
    <row r="15" spans="1:8" ht="33.950000000000003" customHeight="1">
      <c r="A15" s="127" t="s">
        <v>641</v>
      </c>
      <c r="B15" s="127" t="s">
        <v>607</v>
      </c>
    </row>
    <row r="16" spans="1:8" ht="33.950000000000003" customHeight="1">
      <c r="A16" s="123" t="s">
        <v>1316</v>
      </c>
      <c r="B16" s="123" t="s">
        <v>1317</v>
      </c>
    </row>
    <row r="17" spans="1:2" ht="33.950000000000003" customHeight="1">
      <c r="A17" s="124" t="s">
        <v>1318</v>
      </c>
      <c r="B17" s="124" t="s">
        <v>1319</v>
      </c>
    </row>
    <row r="18" spans="1:2" ht="33.950000000000003" customHeight="1">
      <c r="A18" s="123" t="s">
        <v>1320</v>
      </c>
      <c r="B18" s="123" t="s">
        <v>1321</v>
      </c>
    </row>
  </sheetData>
  <mergeCells count="5">
    <mergeCell ref="A1:H1"/>
    <mergeCell ref="A2:H2"/>
    <mergeCell ref="A14:B14"/>
    <mergeCell ref="A5:H5"/>
    <mergeCell ref="B3:H3"/>
  </mergeCells>
  <pageMargins left="0.25" right="0.25" top="0.45" bottom="0.45" header="0.5" footer="0.5"/>
  <pageSetup fitToHeight="0" orientation="portrait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>
    <pageSetUpPr fitToPage="1"/>
  </sheetPr>
  <dimension ref="A1:H20"/>
  <sheetViews>
    <sheetView workbookViewId="0">
      <pane ySplit="4" topLeftCell="A8" activePane="bottomLeft" state="frozen"/>
      <selection pane="bottomLeft" sqref="A1:XFD1048576"/>
    </sheetView>
  </sheetViews>
  <sheetFormatPr defaultColWidth="8.875" defaultRowHeight="14.25"/>
  <cols>
    <col min="1" max="2" width="24" style="1" customWidth="1"/>
    <col min="3" max="4" width="26" style="1" customWidth="1"/>
    <col min="5" max="5" width="24" style="1" customWidth="1"/>
    <col min="6" max="7" width="22" style="1" customWidth="1"/>
    <col min="8" max="8" width="28" style="1" customWidth="1"/>
    <col min="9" max="16384" width="8.875" style="1"/>
  </cols>
  <sheetData>
    <row r="1" spans="1:8" ht="27.95" customHeight="1">
      <c r="A1" s="143" t="s">
        <v>1322</v>
      </c>
      <c r="B1" s="129"/>
      <c r="C1" s="129"/>
      <c r="D1" s="129"/>
      <c r="E1" s="129"/>
      <c r="F1" s="129"/>
      <c r="G1" s="129"/>
      <c r="H1" s="129"/>
    </row>
    <row r="2" spans="1:8" ht="32.1" customHeight="1">
      <c r="A2" s="144" t="s">
        <v>1323</v>
      </c>
      <c r="B2" s="129"/>
      <c r="C2" s="129"/>
      <c r="D2" s="129"/>
      <c r="E2" s="129"/>
      <c r="F2" s="129"/>
      <c r="G2" s="129"/>
      <c r="H2" s="129"/>
    </row>
    <row r="3" spans="1:8" ht="15">
      <c r="A3" s="125" t="s">
        <v>1268</v>
      </c>
      <c r="B3" s="146" t="s">
        <v>1269</v>
      </c>
      <c r="C3" s="129"/>
      <c r="D3" s="129"/>
      <c r="E3" s="129"/>
      <c r="F3" s="129"/>
      <c r="G3" s="129"/>
      <c r="H3" s="129"/>
    </row>
    <row r="5" spans="1:8" ht="33.950000000000003" customHeight="1">
      <c r="A5" s="145" t="s">
        <v>1324</v>
      </c>
      <c r="B5" s="129"/>
      <c r="C5" s="129"/>
      <c r="D5" s="129"/>
      <c r="E5" s="129"/>
      <c r="F5" s="129"/>
      <c r="G5" s="129"/>
      <c r="H5" s="129"/>
    </row>
    <row r="6" spans="1:8" ht="33.950000000000003" customHeight="1">
      <c r="A6" s="126" t="s">
        <v>1325</v>
      </c>
      <c r="B6" s="126" t="s">
        <v>946</v>
      </c>
      <c r="C6" s="126" t="s">
        <v>1326</v>
      </c>
      <c r="D6" s="126" t="s">
        <v>1327</v>
      </c>
      <c r="E6" s="126" t="s">
        <v>1328</v>
      </c>
      <c r="F6" s="126" t="s">
        <v>1329</v>
      </c>
      <c r="G6" s="126" t="s">
        <v>1020</v>
      </c>
      <c r="H6" s="126" t="s">
        <v>1113</v>
      </c>
    </row>
    <row r="7" spans="1:8" ht="33.950000000000003" customHeight="1">
      <c r="A7" s="123" t="s">
        <v>1330</v>
      </c>
      <c r="B7" s="123" t="s">
        <v>1331</v>
      </c>
      <c r="C7" s="123" t="s">
        <v>1332</v>
      </c>
      <c r="D7" s="123" t="s">
        <v>1333</v>
      </c>
      <c r="E7" s="123" t="s">
        <v>1334</v>
      </c>
      <c r="F7" s="123" t="s">
        <v>1335</v>
      </c>
      <c r="G7" s="123" t="s">
        <v>1026</v>
      </c>
      <c r="H7" s="123" t="s">
        <v>1336</v>
      </c>
    </row>
    <row r="8" spans="1:8" ht="33.950000000000003" customHeight="1">
      <c r="A8" s="124" t="s">
        <v>1337</v>
      </c>
      <c r="B8" s="124" t="s">
        <v>1338</v>
      </c>
      <c r="C8" s="124" t="s">
        <v>1339</v>
      </c>
      <c r="D8" s="124" t="s">
        <v>1340</v>
      </c>
      <c r="E8" s="124" t="s">
        <v>1341</v>
      </c>
      <c r="F8" s="124" t="s">
        <v>1342</v>
      </c>
      <c r="G8" s="124" t="s">
        <v>1026</v>
      </c>
      <c r="H8" s="124" t="s">
        <v>1343</v>
      </c>
    </row>
    <row r="9" spans="1:8" ht="33.950000000000003" customHeight="1">
      <c r="A9" s="123" t="s">
        <v>1344</v>
      </c>
      <c r="B9" s="123" t="s">
        <v>1345</v>
      </c>
      <c r="C9" s="123" t="s">
        <v>1346</v>
      </c>
      <c r="D9" s="123" t="s">
        <v>1347</v>
      </c>
      <c r="E9" s="123" t="s">
        <v>1348</v>
      </c>
      <c r="F9" s="123" t="s">
        <v>1055</v>
      </c>
      <c r="G9" s="123" t="s">
        <v>1026</v>
      </c>
      <c r="H9" s="123" t="s">
        <v>1349</v>
      </c>
    </row>
    <row r="10" spans="1:8" ht="33.950000000000003" customHeight="1">
      <c r="A10" s="124" t="s">
        <v>1350</v>
      </c>
      <c r="B10" s="124" t="s">
        <v>1351</v>
      </c>
      <c r="C10" s="124" t="s">
        <v>1352</v>
      </c>
      <c r="D10" s="124" t="s">
        <v>1353</v>
      </c>
      <c r="E10" s="124" t="s">
        <v>1354</v>
      </c>
      <c r="F10" s="124" t="s">
        <v>1342</v>
      </c>
      <c r="G10" s="124" t="s">
        <v>1055</v>
      </c>
      <c r="H10" s="124" t="s">
        <v>1355</v>
      </c>
    </row>
    <row r="11" spans="1:8" ht="33.950000000000003" customHeight="1">
      <c r="A11" s="123" t="s">
        <v>1356</v>
      </c>
      <c r="B11" s="123" t="s">
        <v>1357</v>
      </c>
      <c r="C11" s="123" t="s">
        <v>1358</v>
      </c>
      <c r="D11" s="123" t="s">
        <v>1359</v>
      </c>
      <c r="E11" s="123" t="s">
        <v>1360</v>
      </c>
      <c r="F11" s="123" t="s">
        <v>1055</v>
      </c>
      <c r="G11" s="123" t="s">
        <v>1361</v>
      </c>
      <c r="H11" s="123" t="s">
        <v>1362</v>
      </c>
    </row>
    <row r="12" spans="1:8" ht="33.950000000000003" customHeight="1">
      <c r="A12" s="124" t="s">
        <v>1363</v>
      </c>
      <c r="B12" s="124" t="s">
        <v>1364</v>
      </c>
      <c r="C12" s="124" t="s">
        <v>1365</v>
      </c>
      <c r="D12" s="124" t="s">
        <v>1366</v>
      </c>
      <c r="E12" s="124" t="s">
        <v>1367</v>
      </c>
      <c r="F12" s="124" t="s">
        <v>1299</v>
      </c>
      <c r="G12" s="124" t="s">
        <v>1055</v>
      </c>
      <c r="H12" s="124" t="s">
        <v>1368</v>
      </c>
    </row>
    <row r="13" spans="1:8" ht="33.950000000000003" customHeight="1"/>
    <row r="14" spans="1:8" ht="33.950000000000003" customHeight="1"/>
    <row r="15" spans="1:8" ht="33.950000000000003" customHeight="1">
      <c r="A15" s="145" t="s">
        <v>1369</v>
      </c>
      <c r="B15" s="129"/>
      <c r="C15" s="129"/>
    </row>
    <row r="16" spans="1:8" ht="33.950000000000003" customHeight="1">
      <c r="A16" s="127" t="s">
        <v>1370</v>
      </c>
      <c r="B16" s="127" t="s">
        <v>1371</v>
      </c>
      <c r="C16" s="127" t="s">
        <v>1372</v>
      </c>
    </row>
    <row r="17" spans="1:3" ht="33.950000000000003" customHeight="1">
      <c r="A17" s="123" t="s">
        <v>1373</v>
      </c>
      <c r="B17" s="123" t="s">
        <v>1374</v>
      </c>
      <c r="C17" s="123" t="s">
        <v>1375</v>
      </c>
    </row>
    <row r="18" spans="1:3" ht="33.950000000000003" customHeight="1">
      <c r="A18" s="124" t="s">
        <v>1376</v>
      </c>
      <c r="B18" s="124" t="s">
        <v>1377</v>
      </c>
      <c r="C18" s="124" t="s">
        <v>1378</v>
      </c>
    </row>
    <row r="19" spans="1:3" ht="33.950000000000003" customHeight="1">
      <c r="A19" s="123" t="s">
        <v>1379</v>
      </c>
      <c r="B19" s="123" t="s">
        <v>1380</v>
      </c>
      <c r="C19" s="123" t="s">
        <v>1381</v>
      </c>
    </row>
    <row r="20" spans="1:3" ht="33.950000000000003" customHeight="1">
      <c r="A20" s="124" t="s">
        <v>1382</v>
      </c>
      <c r="B20" s="124" t="s">
        <v>1383</v>
      </c>
      <c r="C20" s="124" t="s">
        <v>1384</v>
      </c>
    </row>
  </sheetData>
  <mergeCells count="5">
    <mergeCell ref="A1:H1"/>
    <mergeCell ref="A2:H2"/>
    <mergeCell ref="A5:H5"/>
    <mergeCell ref="A15:C15"/>
    <mergeCell ref="B3:H3"/>
  </mergeCells>
  <pageMargins left="0.25" right="0.25" top="0.45" bottom="0.45" header="0.5" footer="0.5"/>
  <pageSetup fitToHeight="0" orientation="portrait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>
    <pageSetUpPr fitToPage="1"/>
  </sheetPr>
  <dimension ref="A1:H20"/>
  <sheetViews>
    <sheetView workbookViewId="0">
      <pane ySplit="4" topLeftCell="A5" activePane="bottomLeft" state="frozen"/>
      <selection pane="bottomLeft" sqref="A1:XFD1048576"/>
    </sheetView>
  </sheetViews>
  <sheetFormatPr defaultColWidth="8.875" defaultRowHeight="14.25"/>
  <cols>
    <col min="1" max="1" width="20" style="1" customWidth="1"/>
    <col min="2" max="2" width="24" style="1" customWidth="1"/>
    <col min="3" max="3" width="26" style="1" customWidth="1"/>
    <col min="4" max="6" width="22" style="1" customWidth="1"/>
    <col min="7" max="7" width="24" style="1" customWidth="1"/>
    <col min="8" max="8" width="30" style="1" customWidth="1"/>
    <col min="9" max="16384" width="8.875" style="1"/>
  </cols>
  <sheetData>
    <row r="1" spans="1:8" ht="27.95" customHeight="1">
      <c r="A1" s="143" t="s">
        <v>1203</v>
      </c>
      <c r="B1" s="129"/>
      <c r="C1" s="129"/>
      <c r="D1" s="129"/>
      <c r="E1" s="129"/>
      <c r="F1" s="129"/>
      <c r="G1" s="129"/>
      <c r="H1" s="129"/>
    </row>
    <row r="2" spans="1:8" ht="32.1" customHeight="1">
      <c r="A2" s="144" t="s">
        <v>1385</v>
      </c>
      <c r="B2" s="129"/>
      <c r="C2" s="129"/>
      <c r="D2" s="129"/>
      <c r="E2" s="129"/>
      <c r="F2" s="129"/>
      <c r="G2" s="129"/>
      <c r="H2" s="129"/>
    </row>
    <row r="3" spans="1:8" ht="15">
      <c r="A3" s="125" t="s">
        <v>1268</v>
      </c>
      <c r="B3" s="146" t="s">
        <v>1269</v>
      </c>
      <c r="C3" s="129"/>
      <c r="D3" s="129"/>
      <c r="E3" s="129"/>
      <c r="F3" s="129"/>
      <c r="G3" s="129"/>
      <c r="H3" s="129"/>
    </row>
    <row r="5" spans="1:8" ht="33.950000000000003" customHeight="1">
      <c r="A5" s="145" t="s">
        <v>1386</v>
      </c>
      <c r="B5" s="129"/>
      <c r="C5" s="129"/>
      <c r="D5" s="129"/>
      <c r="E5" s="129"/>
      <c r="F5" s="129"/>
      <c r="G5" s="129"/>
      <c r="H5" s="129"/>
    </row>
    <row r="6" spans="1:8" ht="33.950000000000003" customHeight="1">
      <c r="A6" s="126" t="s">
        <v>1387</v>
      </c>
      <c r="B6" s="126" t="s">
        <v>1388</v>
      </c>
      <c r="C6" s="126" t="s">
        <v>1389</v>
      </c>
      <c r="D6" s="126" t="s">
        <v>1390</v>
      </c>
      <c r="E6" s="126" t="s">
        <v>1391</v>
      </c>
      <c r="F6" s="126" t="s">
        <v>1325</v>
      </c>
      <c r="G6" s="126" t="s">
        <v>1392</v>
      </c>
      <c r="H6" s="126" t="s">
        <v>1393</v>
      </c>
    </row>
    <row r="7" spans="1:8" ht="33.950000000000003" customHeight="1">
      <c r="A7" s="123" t="s">
        <v>1394</v>
      </c>
      <c r="B7" s="123" t="s">
        <v>1395</v>
      </c>
      <c r="C7" s="123" t="s">
        <v>1396</v>
      </c>
      <c r="D7" s="123" t="s">
        <v>1397</v>
      </c>
      <c r="E7" s="123" t="s">
        <v>1398</v>
      </c>
      <c r="F7" s="123" t="s">
        <v>1399</v>
      </c>
      <c r="G7" s="123" t="s">
        <v>1026</v>
      </c>
      <c r="H7" s="123" t="s">
        <v>1400</v>
      </c>
    </row>
    <row r="8" spans="1:8" ht="33.950000000000003" customHeight="1">
      <c r="A8" s="124" t="s">
        <v>1401</v>
      </c>
      <c r="B8" s="124" t="s">
        <v>1402</v>
      </c>
      <c r="C8" s="124" t="s">
        <v>1403</v>
      </c>
      <c r="D8" s="124" t="s">
        <v>1404</v>
      </c>
      <c r="E8" s="124" t="s">
        <v>1405</v>
      </c>
      <c r="F8" s="124" t="s">
        <v>1406</v>
      </c>
      <c r="G8" s="124" t="s">
        <v>1026</v>
      </c>
      <c r="H8" s="124" t="s">
        <v>1407</v>
      </c>
    </row>
    <row r="9" spans="1:8" ht="33.950000000000003" customHeight="1">
      <c r="A9" s="123" t="s">
        <v>1408</v>
      </c>
      <c r="B9" s="123" t="s">
        <v>1409</v>
      </c>
      <c r="C9" s="123" t="s">
        <v>1410</v>
      </c>
      <c r="D9" s="123" t="s">
        <v>1411</v>
      </c>
      <c r="E9" s="123" t="s">
        <v>1412</v>
      </c>
      <c r="F9" s="123" t="s">
        <v>1413</v>
      </c>
      <c r="G9" s="123" t="s">
        <v>1026</v>
      </c>
      <c r="H9" s="123" t="s">
        <v>1414</v>
      </c>
    </row>
    <row r="10" spans="1:8" ht="33.950000000000003" customHeight="1">
      <c r="A10" s="124" t="s">
        <v>1415</v>
      </c>
      <c r="B10" s="124" t="s">
        <v>1416</v>
      </c>
      <c r="C10" s="124" t="s">
        <v>1417</v>
      </c>
      <c r="D10" s="124" t="s">
        <v>1418</v>
      </c>
      <c r="E10" s="124" t="s">
        <v>1419</v>
      </c>
      <c r="F10" s="124" t="s">
        <v>1420</v>
      </c>
      <c r="G10" s="124" t="s">
        <v>1055</v>
      </c>
      <c r="H10" s="124" t="s">
        <v>1421</v>
      </c>
    </row>
    <row r="11" spans="1:8" ht="33.950000000000003" customHeight="1">
      <c r="A11" s="123" t="s">
        <v>1422</v>
      </c>
      <c r="B11" s="123" t="s">
        <v>1423</v>
      </c>
      <c r="C11" s="123" t="s">
        <v>1424</v>
      </c>
      <c r="D11" s="123" t="s">
        <v>1425</v>
      </c>
      <c r="E11" s="123" t="s">
        <v>1426</v>
      </c>
      <c r="F11" s="123" t="s">
        <v>1427</v>
      </c>
      <c r="G11" s="123" t="s">
        <v>1055</v>
      </c>
      <c r="H11" s="123" t="s">
        <v>1428</v>
      </c>
    </row>
    <row r="12" spans="1:8" ht="33.950000000000003" customHeight="1"/>
    <row r="13" spans="1:8" ht="33.950000000000003" customHeight="1"/>
    <row r="14" spans="1:8" ht="33.950000000000003" customHeight="1">
      <c r="A14" s="145" t="s">
        <v>1429</v>
      </c>
      <c r="B14" s="129"/>
      <c r="C14" s="129"/>
      <c r="D14" s="129"/>
    </row>
    <row r="15" spans="1:8" ht="33.950000000000003" customHeight="1">
      <c r="A15" s="127" t="s">
        <v>1430</v>
      </c>
      <c r="B15" s="127" t="s">
        <v>1431</v>
      </c>
      <c r="C15" s="127" t="s">
        <v>1432</v>
      </c>
      <c r="D15" s="127" t="s">
        <v>1268</v>
      </c>
    </row>
    <row r="16" spans="1:8" ht="33.950000000000003" customHeight="1">
      <c r="A16" s="123" t="s">
        <v>1433</v>
      </c>
      <c r="B16" s="123" t="s">
        <v>1434</v>
      </c>
      <c r="C16" s="123" t="s">
        <v>1435</v>
      </c>
      <c r="D16" s="123" t="s">
        <v>1436</v>
      </c>
    </row>
    <row r="17" spans="1:4" ht="33.950000000000003" customHeight="1">
      <c r="A17" s="124" t="s">
        <v>1437</v>
      </c>
      <c r="B17" s="124" t="s">
        <v>1438</v>
      </c>
      <c r="C17" s="124" t="s">
        <v>1439</v>
      </c>
      <c r="D17" s="124" t="s">
        <v>1440</v>
      </c>
    </row>
    <row r="18" spans="1:4" ht="33.950000000000003" customHeight="1">
      <c r="A18" s="123" t="s">
        <v>1441</v>
      </c>
      <c r="B18" s="123" t="s">
        <v>1442</v>
      </c>
      <c r="C18" s="123" t="s">
        <v>1443</v>
      </c>
      <c r="D18" s="123" t="s">
        <v>1444</v>
      </c>
    </row>
    <row r="19" spans="1:4" ht="33.950000000000003" customHeight="1">
      <c r="A19" s="124" t="s">
        <v>1445</v>
      </c>
      <c r="B19" s="124" t="s">
        <v>1446</v>
      </c>
      <c r="C19" s="124" t="s">
        <v>1447</v>
      </c>
      <c r="D19" s="124" t="s">
        <v>1448</v>
      </c>
    </row>
    <row r="20" spans="1:4" ht="33.950000000000003" customHeight="1">
      <c r="A20" s="123" t="s">
        <v>1449</v>
      </c>
      <c r="B20" s="123" t="s">
        <v>1450</v>
      </c>
      <c r="C20" s="123" t="s">
        <v>1451</v>
      </c>
      <c r="D20" s="123" t="s">
        <v>1452</v>
      </c>
    </row>
  </sheetData>
  <mergeCells count="5">
    <mergeCell ref="A1:H1"/>
    <mergeCell ref="A2:H2"/>
    <mergeCell ref="A5:H5"/>
    <mergeCell ref="B3:H3"/>
    <mergeCell ref="A14:D14"/>
  </mergeCells>
  <pageMargins left="0.25" right="0.25" top="0.45" bottom="0.45" header="0.5" footer="0.5"/>
  <pageSetup fitToHeight="0" orientation="portrait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>
    <pageSetUpPr fitToPage="1"/>
  </sheetPr>
  <dimension ref="A1:H20"/>
  <sheetViews>
    <sheetView workbookViewId="0">
      <pane ySplit="4" topLeftCell="A5" activePane="bottomLeft" state="frozen"/>
      <selection pane="bottomLeft" sqref="A1:XFD1048576"/>
    </sheetView>
  </sheetViews>
  <sheetFormatPr defaultColWidth="8.875" defaultRowHeight="14.25"/>
  <cols>
    <col min="1" max="1" width="22" style="1" customWidth="1"/>
    <col min="2" max="2" width="18" style="1" customWidth="1"/>
    <col min="3" max="7" width="24" style="1" customWidth="1"/>
    <col min="8" max="8" width="28" style="1" customWidth="1"/>
    <col min="9" max="16384" width="8.875" style="1"/>
  </cols>
  <sheetData>
    <row r="1" spans="1:8" ht="27.95" customHeight="1">
      <c r="A1" s="143" t="s">
        <v>1453</v>
      </c>
      <c r="B1" s="129"/>
      <c r="C1" s="129"/>
      <c r="D1" s="129"/>
      <c r="E1" s="129"/>
      <c r="F1" s="129"/>
      <c r="G1" s="129"/>
      <c r="H1" s="129"/>
    </row>
    <row r="2" spans="1:8" ht="32.1" customHeight="1">
      <c r="A2" s="144" t="s">
        <v>1454</v>
      </c>
      <c r="B2" s="129"/>
      <c r="C2" s="129"/>
      <c r="D2" s="129"/>
      <c r="E2" s="129"/>
      <c r="F2" s="129"/>
      <c r="G2" s="129"/>
      <c r="H2" s="129"/>
    </row>
    <row r="3" spans="1:8" ht="15">
      <c r="A3" s="125" t="s">
        <v>1268</v>
      </c>
      <c r="B3" s="146" t="s">
        <v>1269</v>
      </c>
      <c r="C3" s="129"/>
      <c r="D3" s="129"/>
      <c r="E3" s="129"/>
      <c r="F3" s="129"/>
      <c r="G3" s="129"/>
      <c r="H3" s="129"/>
    </row>
    <row r="5" spans="1:8" ht="33.950000000000003" customHeight="1">
      <c r="A5" s="145" t="s">
        <v>1455</v>
      </c>
      <c r="B5" s="129"/>
      <c r="C5" s="129"/>
      <c r="D5" s="129"/>
      <c r="E5" s="129"/>
      <c r="F5" s="129"/>
      <c r="G5" s="129"/>
      <c r="H5" s="129"/>
    </row>
    <row r="6" spans="1:8" ht="33.950000000000003" customHeight="1">
      <c r="A6" s="126" t="s">
        <v>1456</v>
      </c>
      <c r="B6" s="126" t="s">
        <v>1457</v>
      </c>
      <c r="C6" s="126" t="s">
        <v>1458</v>
      </c>
      <c r="D6" s="126" t="s">
        <v>1459</v>
      </c>
      <c r="E6" s="126" t="s">
        <v>1460</v>
      </c>
      <c r="F6" s="126" t="s">
        <v>1053</v>
      </c>
      <c r="G6" s="126" t="s">
        <v>1461</v>
      </c>
      <c r="H6" s="126" t="s">
        <v>1462</v>
      </c>
    </row>
    <row r="7" spans="1:8" ht="33.950000000000003" customHeight="1">
      <c r="A7" s="123" t="s">
        <v>1463</v>
      </c>
      <c r="B7" s="123" t="s">
        <v>1464</v>
      </c>
      <c r="C7" s="123" t="s">
        <v>1465</v>
      </c>
      <c r="D7" s="123" t="s">
        <v>1466</v>
      </c>
      <c r="E7" s="123" t="s">
        <v>1467</v>
      </c>
      <c r="F7" s="123" t="s">
        <v>1468</v>
      </c>
      <c r="G7" s="123" t="s">
        <v>1469</v>
      </c>
      <c r="H7" s="123" t="s">
        <v>1470</v>
      </c>
    </row>
    <row r="8" spans="1:8" ht="33.950000000000003" customHeight="1">
      <c r="A8" s="124" t="s">
        <v>1471</v>
      </c>
      <c r="B8" s="124" t="s">
        <v>1464</v>
      </c>
      <c r="C8" s="124" t="s">
        <v>1472</v>
      </c>
      <c r="D8" s="124" t="s">
        <v>1473</v>
      </c>
      <c r="E8" s="124" t="s">
        <v>1474</v>
      </c>
      <c r="F8" s="124" t="s">
        <v>1475</v>
      </c>
      <c r="G8" s="124" t="s">
        <v>1402</v>
      </c>
      <c r="H8" s="124" t="s">
        <v>1476</v>
      </c>
    </row>
    <row r="9" spans="1:8" ht="33.950000000000003" customHeight="1">
      <c r="A9" s="123" t="s">
        <v>1477</v>
      </c>
      <c r="B9" s="123" t="s">
        <v>1478</v>
      </c>
      <c r="C9" s="123" t="s">
        <v>1479</v>
      </c>
      <c r="D9" s="123" t="s">
        <v>1480</v>
      </c>
      <c r="E9" s="123" t="s">
        <v>1481</v>
      </c>
      <c r="F9" s="123" t="s">
        <v>1482</v>
      </c>
      <c r="G9" s="123" t="s">
        <v>1483</v>
      </c>
      <c r="H9" s="123" t="s">
        <v>1484</v>
      </c>
    </row>
    <row r="10" spans="1:8" ht="33.950000000000003" customHeight="1">
      <c r="A10" s="124" t="s">
        <v>1485</v>
      </c>
      <c r="B10" s="124" t="s">
        <v>1478</v>
      </c>
      <c r="C10" s="124" t="s">
        <v>1486</v>
      </c>
      <c r="D10" s="124" t="s">
        <v>1487</v>
      </c>
      <c r="E10" s="124" t="s">
        <v>1488</v>
      </c>
      <c r="F10" s="124" t="s">
        <v>1489</v>
      </c>
      <c r="G10" s="124" t="s">
        <v>1409</v>
      </c>
      <c r="H10" s="124" t="s">
        <v>1490</v>
      </c>
    </row>
    <row r="11" spans="1:8" ht="33.950000000000003" customHeight="1">
      <c r="A11" s="123" t="s">
        <v>1491</v>
      </c>
      <c r="B11" s="123" t="s">
        <v>1492</v>
      </c>
      <c r="C11" s="123" t="s">
        <v>1493</v>
      </c>
      <c r="D11" s="123" t="s">
        <v>1494</v>
      </c>
      <c r="E11" s="123" t="s">
        <v>1495</v>
      </c>
      <c r="F11" s="123" t="s">
        <v>1496</v>
      </c>
      <c r="G11" s="123" t="s">
        <v>1416</v>
      </c>
      <c r="H11" s="123" t="s">
        <v>1497</v>
      </c>
    </row>
    <row r="12" spans="1:8" ht="33.950000000000003" customHeight="1">
      <c r="A12" s="124" t="s">
        <v>1498</v>
      </c>
      <c r="B12" s="124" t="s">
        <v>1492</v>
      </c>
      <c r="C12" s="124" t="s">
        <v>1499</v>
      </c>
      <c r="D12" s="124" t="s">
        <v>1500</v>
      </c>
      <c r="E12" s="124" t="s">
        <v>1501</v>
      </c>
      <c r="F12" s="124" t="s">
        <v>1502</v>
      </c>
      <c r="G12" s="124" t="s">
        <v>1503</v>
      </c>
      <c r="H12" s="124" t="s">
        <v>1504</v>
      </c>
    </row>
    <row r="13" spans="1:8" ht="33.950000000000003" customHeight="1"/>
    <row r="14" spans="1:8" ht="33.950000000000003" customHeight="1"/>
    <row r="15" spans="1:8" ht="33.950000000000003" customHeight="1">
      <c r="A15" s="145" t="s">
        <v>1505</v>
      </c>
      <c r="B15" s="129"/>
      <c r="C15" s="129"/>
      <c r="D15" s="129"/>
    </row>
    <row r="16" spans="1:8" ht="33.950000000000003" customHeight="1">
      <c r="A16" s="127" t="s">
        <v>1506</v>
      </c>
      <c r="B16" s="127" t="s">
        <v>1507</v>
      </c>
      <c r="C16" s="127" t="s">
        <v>1508</v>
      </c>
      <c r="D16" s="127" t="s">
        <v>1509</v>
      </c>
    </row>
    <row r="17" spans="1:4" ht="33.950000000000003" customHeight="1">
      <c r="A17" s="123" t="s">
        <v>1510</v>
      </c>
      <c r="B17" s="123" t="s">
        <v>1511</v>
      </c>
      <c r="C17" s="123" t="s">
        <v>1512</v>
      </c>
      <c r="D17" s="123" t="s">
        <v>1513</v>
      </c>
    </row>
    <row r="18" spans="1:4" ht="33.950000000000003" customHeight="1">
      <c r="A18" s="124" t="s">
        <v>1514</v>
      </c>
      <c r="B18" s="124" t="s">
        <v>1515</v>
      </c>
      <c r="C18" s="124" t="s">
        <v>1516</v>
      </c>
      <c r="D18" s="124" t="s">
        <v>1517</v>
      </c>
    </row>
    <row r="19" spans="1:4" ht="33.950000000000003" customHeight="1">
      <c r="A19" s="123" t="s">
        <v>1518</v>
      </c>
      <c r="B19" s="123" t="s">
        <v>1519</v>
      </c>
      <c r="C19" s="123" t="s">
        <v>1520</v>
      </c>
      <c r="D19" s="123" t="s">
        <v>1521</v>
      </c>
    </row>
    <row r="20" spans="1:4" ht="33.950000000000003" customHeight="1">
      <c r="A20" s="124" t="s">
        <v>1522</v>
      </c>
      <c r="B20" s="124" t="s">
        <v>1523</v>
      </c>
      <c r="C20" s="124" t="s">
        <v>1524</v>
      </c>
      <c r="D20" s="124" t="s">
        <v>1525</v>
      </c>
    </row>
  </sheetData>
  <mergeCells count="5">
    <mergeCell ref="A1:H1"/>
    <mergeCell ref="A2:H2"/>
    <mergeCell ref="A15:D15"/>
    <mergeCell ref="A5:H5"/>
    <mergeCell ref="B3:H3"/>
  </mergeCells>
  <pageMargins left="0.25" right="0.25" top="0.45" bottom="0.45" header="0.5" footer="0.5"/>
  <pageSetup fitToHeight="0" orientation="portrait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>
    <pageSetUpPr fitToPage="1"/>
  </sheetPr>
  <dimension ref="A1:H12"/>
  <sheetViews>
    <sheetView workbookViewId="0">
      <pane ySplit="4" topLeftCell="A5" activePane="bottomLeft" state="frozen"/>
      <selection pane="bottomLeft" sqref="A1:XFD1048576"/>
    </sheetView>
  </sheetViews>
  <sheetFormatPr defaultColWidth="8.875" defaultRowHeight="14.25"/>
  <cols>
    <col min="1" max="2" width="24" style="1" customWidth="1"/>
    <col min="3" max="3" width="26" style="1" customWidth="1"/>
    <col min="4" max="5" width="24" style="1" customWidth="1"/>
    <col min="6" max="7" width="22" style="1" customWidth="1"/>
    <col min="8" max="8" width="30" style="1" customWidth="1"/>
    <col min="9" max="16384" width="8.875" style="1"/>
  </cols>
  <sheetData>
    <row r="1" spans="1:8" ht="27.95" customHeight="1">
      <c r="A1" s="143" t="s">
        <v>1526</v>
      </c>
      <c r="B1" s="129"/>
      <c r="C1" s="129"/>
      <c r="D1" s="129"/>
      <c r="E1" s="129"/>
      <c r="F1" s="129"/>
      <c r="G1" s="129"/>
      <c r="H1" s="129"/>
    </row>
    <row r="2" spans="1:8" ht="32.1" customHeight="1">
      <c r="A2" s="144" t="s">
        <v>1527</v>
      </c>
      <c r="B2" s="129"/>
      <c r="C2" s="129"/>
      <c r="D2" s="129"/>
      <c r="E2" s="129"/>
      <c r="F2" s="129"/>
      <c r="G2" s="129"/>
      <c r="H2" s="129"/>
    </row>
    <row r="3" spans="1:8" ht="15">
      <c r="A3" s="125" t="s">
        <v>1268</v>
      </c>
      <c r="B3" s="146" t="s">
        <v>1269</v>
      </c>
      <c r="C3" s="129"/>
      <c r="D3" s="129"/>
      <c r="E3" s="129"/>
      <c r="F3" s="129"/>
      <c r="G3" s="129"/>
      <c r="H3" s="129"/>
    </row>
    <row r="5" spans="1:8" ht="33.950000000000003" customHeight="1">
      <c r="A5" s="145" t="s">
        <v>1528</v>
      </c>
      <c r="B5" s="129"/>
      <c r="C5" s="129"/>
      <c r="D5" s="129"/>
      <c r="E5" s="129"/>
      <c r="F5" s="129"/>
      <c r="G5" s="129"/>
      <c r="H5" s="129"/>
    </row>
    <row r="6" spans="1:8" ht="33.950000000000003" customHeight="1">
      <c r="A6" s="126" t="s">
        <v>1325</v>
      </c>
      <c r="B6" s="126" t="s">
        <v>1529</v>
      </c>
      <c r="C6" s="126" t="s">
        <v>1530</v>
      </c>
      <c r="D6" s="126" t="s">
        <v>1327</v>
      </c>
      <c r="E6" s="126" t="s">
        <v>606</v>
      </c>
      <c r="F6" s="126" t="s">
        <v>1020</v>
      </c>
      <c r="G6" s="126" t="s">
        <v>1053</v>
      </c>
      <c r="H6" s="126" t="s">
        <v>1531</v>
      </c>
    </row>
    <row r="7" spans="1:8" ht="33.950000000000003" customHeight="1">
      <c r="A7" s="123" t="s">
        <v>1532</v>
      </c>
      <c r="B7" s="123" t="s">
        <v>1533</v>
      </c>
      <c r="C7" s="123" t="s">
        <v>1534</v>
      </c>
      <c r="D7" s="123" t="s">
        <v>1535</v>
      </c>
      <c r="E7" s="123" t="s">
        <v>1536</v>
      </c>
      <c r="F7" s="123" t="s">
        <v>1537</v>
      </c>
      <c r="G7" s="123" t="s">
        <v>1538</v>
      </c>
      <c r="H7" s="123" t="s">
        <v>1539</v>
      </c>
    </row>
    <row r="8" spans="1:8" ht="33.950000000000003" customHeight="1">
      <c r="A8" s="124" t="s">
        <v>1540</v>
      </c>
      <c r="B8" s="124" t="s">
        <v>1541</v>
      </c>
      <c r="C8" s="124" t="s">
        <v>1542</v>
      </c>
      <c r="D8" s="124" t="s">
        <v>1543</v>
      </c>
      <c r="E8" s="124" t="s">
        <v>1544</v>
      </c>
      <c r="F8" s="124" t="s">
        <v>1026</v>
      </c>
      <c r="G8" s="124" t="s">
        <v>1545</v>
      </c>
      <c r="H8" s="124" t="s">
        <v>1546</v>
      </c>
    </row>
    <row r="9" spans="1:8" ht="33.950000000000003" customHeight="1">
      <c r="A9" s="123" t="s">
        <v>1350</v>
      </c>
      <c r="B9" s="123" t="s">
        <v>1547</v>
      </c>
      <c r="C9" s="123" t="s">
        <v>1548</v>
      </c>
      <c r="D9" s="123" t="s">
        <v>1549</v>
      </c>
      <c r="E9" s="123" t="s">
        <v>1550</v>
      </c>
      <c r="F9" s="123" t="s">
        <v>1551</v>
      </c>
      <c r="G9" s="123" t="s">
        <v>1552</v>
      </c>
      <c r="H9" s="123" t="s">
        <v>1553</v>
      </c>
    </row>
    <row r="10" spans="1:8" ht="33.950000000000003" customHeight="1">
      <c r="A10" s="124" t="s">
        <v>1554</v>
      </c>
      <c r="B10" s="124" t="s">
        <v>1555</v>
      </c>
      <c r="C10" s="124" t="s">
        <v>1556</v>
      </c>
      <c r="D10" s="124" t="s">
        <v>1557</v>
      </c>
      <c r="E10" s="124" t="s">
        <v>1558</v>
      </c>
      <c r="F10" s="124" t="s">
        <v>1026</v>
      </c>
      <c r="G10" s="124" t="s">
        <v>1559</v>
      </c>
      <c r="H10" s="124" t="s">
        <v>1560</v>
      </c>
    </row>
    <row r="11" spans="1:8" ht="33.950000000000003" customHeight="1">
      <c r="A11" s="123" t="s">
        <v>1561</v>
      </c>
      <c r="B11" s="123" t="s">
        <v>1562</v>
      </c>
      <c r="C11" s="123" t="s">
        <v>1563</v>
      </c>
      <c r="D11" s="123" t="s">
        <v>1564</v>
      </c>
      <c r="E11" s="123" t="s">
        <v>1565</v>
      </c>
      <c r="F11" s="123" t="s">
        <v>1566</v>
      </c>
      <c r="G11" s="123" t="s">
        <v>1567</v>
      </c>
      <c r="H11" s="123" t="s">
        <v>1568</v>
      </c>
    </row>
    <row r="12" spans="1:8" ht="33.950000000000003" customHeight="1">
      <c r="A12" s="124" t="s">
        <v>1569</v>
      </c>
      <c r="B12" s="124" t="s">
        <v>1570</v>
      </c>
      <c r="C12" s="124" t="s">
        <v>1571</v>
      </c>
      <c r="D12" s="124" t="s">
        <v>1572</v>
      </c>
      <c r="E12" s="124" t="s">
        <v>1573</v>
      </c>
      <c r="F12" s="124" t="s">
        <v>1055</v>
      </c>
      <c r="G12" s="124" t="s">
        <v>1574</v>
      </c>
      <c r="H12" s="124" t="s">
        <v>1575</v>
      </c>
    </row>
  </sheetData>
  <mergeCells count="4">
    <mergeCell ref="B3:H3"/>
    <mergeCell ref="A2:H2"/>
    <mergeCell ref="A5:H5"/>
    <mergeCell ref="A1:H1"/>
  </mergeCells>
  <pageMargins left="0.25" right="0.25" top="0.45" bottom="0.45" header="0.5" footer="0.5"/>
  <pageSetup fitToHeight="0" orientation="portrait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>
    <pageSetUpPr fitToPage="1"/>
  </sheetPr>
  <dimension ref="A1:H19"/>
  <sheetViews>
    <sheetView workbookViewId="0">
      <pane ySplit="4" topLeftCell="A5" activePane="bottomLeft" state="frozen"/>
      <selection pane="bottomLeft" sqref="A1:XFD1048576"/>
    </sheetView>
  </sheetViews>
  <sheetFormatPr defaultColWidth="8.875" defaultRowHeight="14.25"/>
  <cols>
    <col min="1" max="2" width="24" style="1" customWidth="1"/>
    <col min="3" max="3" width="28" style="1" customWidth="1"/>
    <col min="4" max="7" width="24" style="1" customWidth="1"/>
    <col min="8" max="8" width="30" style="1" customWidth="1"/>
    <col min="9" max="16384" width="8.875" style="1"/>
  </cols>
  <sheetData>
    <row r="1" spans="1:8" ht="27.95" customHeight="1">
      <c r="A1" s="143" t="s">
        <v>1576</v>
      </c>
      <c r="B1" s="129"/>
      <c r="C1" s="129"/>
      <c r="D1" s="129"/>
      <c r="E1" s="129"/>
      <c r="F1" s="129"/>
      <c r="G1" s="129"/>
      <c r="H1" s="129"/>
    </row>
    <row r="2" spans="1:8" ht="32.1" customHeight="1">
      <c r="A2" s="144" t="s">
        <v>1577</v>
      </c>
      <c r="B2" s="129"/>
      <c r="C2" s="129"/>
      <c r="D2" s="129"/>
      <c r="E2" s="129"/>
      <c r="F2" s="129"/>
      <c r="G2" s="129"/>
      <c r="H2" s="129"/>
    </row>
    <row r="3" spans="1:8" ht="15">
      <c r="A3" s="125" t="s">
        <v>1268</v>
      </c>
      <c r="B3" s="146" t="s">
        <v>1269</v>
      </c>
      <c r="C3" s="129"/>
      <c r="D3" s="129"/>
      <c r="E3" s="129"/>
      <c r="F3" s="129"/>
      <c r="G3" s="129"/>
      <c r="H3" s="129"/>
    </row>
    <row r="5" spans="1:8" ht="33.950000000000003" customHeight="1">
      <c r="A5" s="145" t="s">
        <v>1578</v>
      </c>
      <c r="B5" s="129"/>
      <c r="C5" s="129"/>
      <c r="D5" s="129"/>
      <c r="E5" s="129"/>
      <c r="F5" s="129"/>
      <c r="G5" s="129"/>
      <c r="H5" s="129"/>
    </row>
    <row r="6" spans="1:8" ht="33.950000000000003" customHeight="1">
      <c r="A6" s="126" t="s">
        <v>1579</v>
      </c>
      <c r="B6" s="126" t="s">
        <v>1580</v>
      </c>
      <c r="C6" s="126" t="s">
        <v>1581</v>
      </c>
      <c r="D6" s="126" t="s">
        <v>1582</v>
      </c>
      <c r="E6" s="126" t="s">
        <v>1583</v>
      </c>
      <c r="F6" s="126" t="s">
        <v>1584</v>
      </c>
      <c r="G6" s="126" t="s">
        <v>1053</v>
      </c>
      <c r="H6" s="126" t="s">
        <v>1585</v>
      </c>
    </row>
    <row r="7" spans="1:8" ht="33.950000000000003" customHeight="1">
      <c r="A7" s="123" t="s">
        <v>1586</v>
      </c>
      <c r="B7" s="123" t="s">
        <v>1587</v>
      </c>
      <c r="C7" s="123" t="s">
        <v>1588</v>
      </c>
      <c r="D7" s="123" t="s">
        <v>1589</v>
      </c>
      <c r="E7" s="123" t="s">
        <v>1590</v>
      </c>
      <c r="F7" s="123" t="s">
        <v>1591</v>
      </c>
      <c r="G7" s="123" t="s">
        <v>1592</v>
      </c>
      <c r="H7" s="123" t="s">
        <v>1593</v>
      </c>
    </row>
    <row r="8" spans="1:8" ht="33.950000000000003" customHeight="1">
      <c r="A8" s="124" t="s">
        <v>1594</v>
      </c>
      <c r="B8" s="124" t="s">
        <v>1595</v>
      </c>
      <c r="C8" s="124" t="s">
        <v>1596</v>
      </c>
      <c r="D8" s="124" t="s">
        <v>1597</v>
      </c>
      <c r="E8" s="124" t="s">
        <v>1598</v>
      </c>
      <c r="F8" s="124" t="s">
        <v>1599</v>
      </c>
      <c r="G8" s="124" t="s">
        <v>1600</v>
      </c>
      <c r="H8" s="124" t="s">
        <v>1601</v>
      </c>
    </row>
    <row r="9" spans="1:8" ht="33.950000000000003" customHeight="1">
      <c r="A9" s="123" t="s">
        <v>1602</v>
      </c>
      <c r="B9" s="123" t="s">
        <v>1603</v>
      </c>
      <c r="C9" s="123" t="s">
        <v>1604</v>
      </c>
      <c r="D9" s="123" t="s">
        <v>1605</v>
      </c>
      <c r="E9" s="123" t="s">
        <v>1606</v>
      </c>
      <c r="F9" s="123" t="s">
        <v>1607</v>
      </c>
      <c r="G9" s="123" t="s">
        <v>1608</v>
      </c>
      <c r="H9" s="123" t="s">
        <v>1609</v>
      </c>
    </row>
    <row r="10" spans="1:8" ht="33.950000000000003" customHeight="1">
      <c r="A10" s="124" t="s">
        <v>1610</v>
      </c>
      <c r="B10" s="124" t="s">
        <v>1611</v>
      </c>
      <c r="C10" s="124" t="s">
        <v>1612</v>
      </c>
      <c r="D10" s="124" t="s">
        <v>1613</v>
      </c>
      <c r="E10" s="124" t="s">
        <v>1614</v>
      </c>
      <c r="F10" s="124" t="s">
        <v>1615</v>
      </c>
      <c r="G10" s="124" t="s">
        <v>1616</v>
      </c>
      <c r="H10" s="124" t="s">
        <v>1617</v>
      </c>
    </row>
    <row r="11" spans="1:8" ht="33.950000000000003" customHeight="1">
      <c r="A11" s="123" t="s">
        <v>1618</v>
      </c>
      <c r="B11" s="123" t="s">
        <v>1619</v>
      </c>
      <c r="C11" s="123" t="s">
        <v>1620</v>
      </c>
      <c r="D11" s="123" t="s">
        <v>1621</v>
      </c>
      <c r="E11" s="123" t="s">
        <v>1622</v>
      </c>
      <c r="F11" s="123" t="s">
        <v>1623</v>
      </c>
      <c r="G11" s="123" t="s">
        <v>1624</v>
      </c>
      <c r="H11" s="123" t="s">
        <v>1625</v>
      </c>
    </row>
    <row r="12" spans="1:8" ht="33.950000000000003" customHeight="1"/>
    <row r="13" spans="1:8" ht="33.950000000000003" customHeight="1"/>
    <row r="14" spans="1:8" ht="33.950000000000003" customHeight="1">
      <c r="A14" s="145" t="s">
        <v>1626</v>
      </c>
      <c r="B14" s="129"/>
      <c r="C14" s="129"/>
      <c r="D14" s="129"/>
      <c r="E14" s="129"/>
      <c r="F14" s="129"/>
      <c r="G14" s="129"/>
    </row>
    <row r="15" spans="1:8" ht="33.950000000000003" customHeight="1">
      <c r="A15" s="127" t="s">
        <v>641</v>
      </c>
      <c r="B15" s="127" t="s">
        <v>1469</v>
      </c>
      <c r="C15" s="127" t="s">
        <v>1483</v>
      </c>
      <c r="D15" s="127" t="s">
        <v>1627</v>
      </c>
      <c r="E15" s="127" t="s">
        <v>1628</v>
      </c>
      <c r="F15" s="127" t="s">
        <v>1629</v>
      </c>
      <c r="G15" s="127" t="s">
        <v>812</v>
      </c>
    </row>
    <row r="16" spans="1:8" ht="33.950000000000003" customHeight="1">
      <c r="A16" s="123" t="s">
        <v>1630</v>
      </c>
      <c r="B16" s="123">
        <v>0</v>
      </c>
      <c r="C16" s="123">
        <v>15</v>
      </c>
      <c r="D16" s="123">
        <v>35</v>
      </c>
      <c r="E16" s="123">
        <v>60</v>
      </c>
      <c r="F16" s="123">
        <v>90</v>
      </c>
      <c r="G16" s="123" t="s">
        <v>1631</v>
      </c>
    </row>
    <row r="17" spans="1:7" ht="33.950000000000003" customHeight="1">
      <c r="A17" s="124" t="s">
        <v>1632</v>
      </c>
      <c r="B17" s="124">
        <f>CBI_Readiness_Costs!B13</f>
        <v>0</v>
      </c>
      <c r="C17" s="124">
        <f>CBI_Readiness_Costs!C13</f>
        <v>0.12</v>
      </c>
      <c r="D17" s="124">
        <f>CBI_Readiness_Costs!D13</f>
        <v>0.16</v>
      </c>
      <c r="E17" s="124">
        <f>CBI_Readiness_Costs!E13</f>
        <v>0.2</v>
      </c>
      <c r="F17" s="124">
        <f>CBI_Readiness_Costs!F13</f>
        <v>0.24</v>
      </c>
      <c r="G17" s="124" t="s">
        <v>1633</v>
      </c>
    </row>
    <row r="18" spans="1:7" ht="33.950000000000003" customHeight="1">
      <c r="A18" s="123" t="s">
        <v>1634</v>
      </c>
      <c r="B18" s="123">
        <v>0</v>
      </c>
      <c r="C18" s="123">
        <v>350</v>
      </c>
      <c r="D18" s="123">
        <v>500</v>
      </c>
      <c r="E18" s="123">
        <v>650</v>
      </c>
      <c r="F18" s="123">
        <v>800</v>
      </c>
      <c r="G18" s="123" t="s">
        <v>1635</v>
      </c>
    </row>
    <row r="19" spans="1:7" ht="33.950000000000003" customHeight="1">
      <c r="A19" s="124" t="s">
        <v>1636</v>
      </c>
      <c r="B19" s="124">
        <f>B16*B18*12</f>
        <v>0</v>
      </c>
      <c r="C19" s="124">
        <f>C16*C18*12</f>
        <v>63000</v>
      </c>
      <c r="D19" s="124">
        <f>D16*D18*12</f>
        <v>210000</v>
      </c>
      <c r="E19" s="124">
        <f>E16*E18*12</f>
        <v>468000</v>
      </c>
      <c r="F19" s="124">
        <f>F16*F18*12</f>
        <v>864000</v>
      </c>
      <c r="G19" s="124" t="s">
        <v>1637</v>
      </c>
    </row>
  </sheetData>
  <mergeCells count="5">
    <mergeCell ref="A1:H1"/>
    <mergeCell ref="A14:G14"/>
    <mergeCell ref="A2:H2"/>
    <mergeCell ref="A5:H5"/>
    <mergeCell ref="B3:H3"/>
  </mergeCells>
  <pageMargins left="0.25" right="0.25" top="0.45" bottom="0.45" header="0.5" footer="0.5"/>
  <pageSetup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34</vt:i4>
      </vt:variant>
    </vt:vector>
  </HeadingPairs>
  <TitlesOfParts>
    <vt:vector size="34" baseType="lpstr">
      <vt:lpstr>Cover</vt:lpstr>
      <vt:lpstr>Sources</vt:lpstr>
      <vt:lpstr>Assumptions</vt:lpstr>
      <vt:lpstr>Market_Calibration</vt:lpstr>
      <vt:lpstr>Monthly_Model</vt:lpstr>
      <vt:lpstr>Annual_Summary</vt:lpstr>
      <vt:lpstr>Dashboard</vt:lpstr>
      <vt:lpstr>Scenarios</vt:lpstr>
      <vt:lpstr>Checks</vt:lpstr>
      <vt:lpstr>Reg_Framework</vt:lpstr>
      <vt:lpstr>Basel_III_CBI</vt:lpstr>
      <vt:lpstr>AAOIFI_IFRS_Iraq</vt:lpstr>
      <vt:lpstr>Reg_Stress_Checks</vt:lpstr>
      <vt:lpstr>Enhanced_Dashboard</vt:lpstr>
      <vt:lpstr>FS_Income_Statement</vt:lpstr>
      <vt:lpstr>FS_Balance_Sheet</vt:lpstr>
      <vt:lpstr>FS_Cash_Flows</vt:lpstr>
      <vt:lpstr>FS_Shareholders_Equity</vt:lpstr>
      <vt:lpstr>FS_Checks</vt:lpstr>
      <vt:lpstr>ECL_Assumptions</vt:lpstr>
      <vt:lpstr>ECL_Module</vt:lpstr>
      <vt:lpstr>ECL_Sensitivity</vt:lpstr>
      <vt:lpstr>ECL_Accounting_Map</vt:lpstr>
      <vt:lpstr>CBI_Provision_Checklist</vt:lpstr>
      <vt:lpstr>CBI_Readiness_Costs</vt:lpstr>
      <vt:lpstr>CBI_Standards_Mapping</vt:lpstr>
      <vt:lpstr>Deposit_Cap_Check</vt:lpstr>
      <vt:lpstr>Quarterly_Reg_Report</vt:lpstr>
      <vt:lpstr>Competitor_Analysis</vt:lpstr>
      <vt:lpstr>Customer_Segmentation</vt:lpstr>
      <vt:lpstr>Product_Roadmap_Pricing</vt:lpstr>
      <vt:lpstr>Governorate_Channel_GTM</vt:lpstr>
      <vt:lpstr>Underserved_Segments</vt:lpstr>
      <vt:lpstr>Digital_Agents_Cash_Model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MKM</cp:lastModifiedBy>
  <dcterms:created xsi:type="dcterms:W3CDTF">2026-06-13T17:22:13Z</dcterms:created>
  <dcterms:modified xsi:type="dcterms:W3CDTF">2026-06-27T10:49:46Z</dcterms:modified>
</cp:coreProperties>
</file>